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showInkAnnotation="0" codeName="현재_통합_문서"/>
  <mc:AlternateContent xmlns:mc="http://schemas.openxmlformats.org/markup-compatibility/2006">
    <mc:Choice Requires="x15">
      <x15ac:absPath xmlns:x15ac="http://schemas.microsoft.com/office/spreadsheetml/2010/11/ac" url="C:\Users\2210015\Desktop\IR BOOK\1. 실적발표\2022 1Q\"/>
    </mc:Choice>
  </mc:AlternateContent>
  <xr:revisionPtr revIDLastSave="0" documentId="13_ncr:1_{F0EF097F-45C3-4922-A7D9-B7C03A336791}" xr6:coauthVersionLast="36" xr6:coauthVersionMax="36" xr10:uidLastSave="{00000000-0000-0000-0000-000000000000}"/>
  <workbookProtection workbookAlgorithmName="SHA-512" workbookHashValue="/AxZN5Tk83RgOgLxig5fccLN1lI60+SSRkZjFEiXhHljaJlcouQllOcnbvTPyV/qXh9vvZXxvyyTQuAcl2ZB2Q==" workbookSaltValue="t5TBLkSEQ/IA/Vx5LdFi+Q==" workbookSpinCount="100000" lockStructure="1"/>
  <bookViews>
    <workbookView xWindow="0" yWindow="0" windowWidth="21570" windowHeight="8010" tabRatio="746" activeTab="3" xr2:uid="{00000000-000D-0000-FFFF-FFFF00000000}"/>
  </bookViews>
  <sheets>
    <sheet name="Main" sheetId="20" r:id="rId1"/>
    <sheet name="1. Consolidated BS" sheetId="31" r:id="rId2"/>
    <sheet name="2. Consolidated PL" sheetId="32" r:id="rId3"/>
    <sheet name="3. Subsidiaries_Segments" sheetId="54" r:id="rId4"/>
    <sheet name="Data1_BS" sheetId="25" state="hidden" r:id="rId5"/>
    <sheet name="Data2_PL" sheetId="33" state="hidden" r:id="rId6"/>
    <sheet name="Q122" sheetId="56" state="hidden" r:id="rId7"/>
    <sheet name="Sheet1" sheetId="23" state="hidden" r:id="rId8"/>
    <sheet name="1Q18" sheetId="50" state="hidden" r:id="rId9"/>
    <sheet name="2Q18" sheetId="51" state="hidden" r:id="rId10"/>
    <sheet name="3Q18" sheetId="52" state="hidden" r:id="rId11"/>
    <sheet name="4Q18" sheetId="53" state="hidden" r:id="rId12"/>
    <sheet name="1Q19" sheetId="39" state="hidden" r:id="rId13"/>
    <sheet name="2Q19" sheetId="40" state="hidden" r:id="rId14"/>
    <sheet name="3Q19" sheetId="42" state="hidden" r:id="rId15"/>
    <sheet name="4Q19" sheetId="41" state="hidden" r:id="rId16"/>
    <sheet name="1Q20" sheetId="44" state="hidden" r:id="rId17"/>
    <sheet name="2Q20" sheetId="43" state="hidden" r:id="rId18"/>
    <sheet name="3Q20" sheetId="45" state="hidden" r:id="rId19"/>
    <sheet name="4Q20" sheetId="46" state="hidden" r:id="rId20"/>
    <sheet name="1Q21" sheetId="47" state="hidden" r:id="rId21"/>
    <sheet name="2Q21" sheetId="48" state="hidden" r:id="rId22"/>
    <sheet name="3Q21" sheetId="49" state="hidden" r:id="rId23"/>
    <sheet name="4Q21" sheetId="55" state="hidden" r:id="rId24"/>
  </sheets>
  <externalReferences>
    <externalReference r:id="rId25"/>
  </externalReferences>
  <definedNames>
    <definedName name="_xlnm.Print_Area" localSheetId="1">'1. Consolidated BS'!$A$1:$N$51</definedName>
    <definedName name="_xlnm.Print_Area" localSheetId="2">'2. Consolidated PL'!$A$1:$Q$42</definedName>
    <definedName name="_xlnm.Print_Area" localSheetId="4">Data1_BS!$A$1:$A$51</definedName>
    <definedName name="단위_Unit">Sheet1!$D$2:$D$4</definedName>
    <definedName name="언어_Language" localSheetId="5">[1]Sheet1!$B$2:$B$4</definedName>
    <definedName name="언어_Language">Sheet1!$B$2:$B$4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5" i="33" l="1"/>
  <c r="U35" i="33"/>
  <c r="T35" i="33"/>
  <c r="S35" i="33"/>
  <c r="R35" i="33"/>
  <c r="Q35" i="33"/>
  <c r="P35" i="33"/>
  <c r="O35" i="33"/>
  <c r="N35" i="33"/>
  <c r="M35" i="33"/>
  <c r="L35" i="33"/>
  <c r="K35" i="33"/>
  <c r="J35" i="33"/>
  <c r="I35" i="33"/>
  <c r="H35" i="33"/>
  <c r="G35" i="33"/>
  <c r="F35" i="33"/>
  <c r="E35" i="33"/>
  <c r="D35" i="33"/>
  <c r="C35" i="33"/>
  <c r="W35" i="33"/>
  <c r="S54" i="33"/>
  <c r="T54" i="33" s="1"/>
  <c r="N54" i="33"/>
  <c r="J54" i="33"/>
  <c r="I54" i="33"/>
  <c r="K54" i="33" s="1"/>
  <c r="D54" i="33"/>
  <c r="O54" i="33" l="1"/>
  <c r="P54" i="33" s="1"/>
  <c r="U54" i="33"/>
  <c r="E54" i="33"/>
  <c r="F54" i="33" s="1"/>
  <c r="Q22" i="32"/>
  <c r="W65" i="25" l="1"/>
  <c r="Q43" i="54" l="1"/>
  <c r="S36" i="25" l="1"/>
  <c r="S35" i="25"/>
  <c r="S34" i="25"/>
  <c r="S33" i="25"/>
  <c r="S32" i="25"/>
  <c r="S39" i="25"/>
  <c r="S38" i="25"/>
  <c r="S37" i="25"/>
  <c r="S31" i="25"/>
  <c r="S25" i="25"/>
  <c r="S29" i="25"/>
  <c r="S43" i="25" s="1"/>
  <c r="S27" i="25"/>
  <c r="S26" i="25"/>
  <c r="S24" i="25"/>
  <c r="S23" i="25"/>
  <c r="S21" i="25"/>
  <c r="S55" i="25" s="1"/>
  <c r="S20" i="25"/>
  <c r="S19" i="25"/>
  <c r="S22" i="25" s="1"/>
  <c r="Q21" i="25"/>
  <c r="S28" i="25" l="1"/>
  <c r="S17" i="25"/>
  <c r="S15" i="25"/>
  <c r="S14" i="25"/>
  <c r="S13" i="25"/>
  <c r="S12" i="25"/>
  <c r="S10" i="25"/>
  <c r="S9" i="25"/>
  <c r="S8" i="25"/>
  <c r="S44" i="25" s="1"/>
  <c r="S7" i="25"/>
  <c r="S42" i="25" s="1"/>
  <c r="W26" i="33"/>
  <c r="W23" i="33"/>
  <c r="Q21" i="32" s="1"/>
  <c r="W22" i="33"/>
  <c r="Q20" i="32" s="1"/>
  <c r="W21" i="33"/>
  <c r="Q19" i="32" s="1"/>
  <c r="W20" i="33"/>
  <c r="W19" i="33"/>
  <c r="Q17" i="32" s="1"/>
  <c r="W18" i="33"/>
  <c r="Q16" i="32" s="1"/>
  <c r="W17" i="33"/>
  <c r="Q15" i="32" s="1"/>
  <c r="W16" i="33"/>
  <c r="Q14" i="32" s="1"/>
  <c r="W15" i="33"/>
  <c r="Q13" i="32" s="1"/>
  <c r="W14" i="33"/>
  <c r="Q12" i="32" s="1"/>
  <c r="W13" i="33"/>
  <c r="W12" i="33"/>
  <c r="W11" i="33"/>
  <c r="W10" i="33"/>
  <c r="W9" i="33"/>
  <c r="W66" i="25" s="1"/>
  <c r="W8" i="33"/>
  <c r="Q18" i="32" l="1"/>
  <c r="W30" i="33"/>
  <c r="W36" i="33"/>
  <c r="S41" i="25"/>
  <c r="S56" i="25" s="1"/>
  <c r="W32" i="33"/>
  <c r="S11" i="25"/>
  <c r="S16" i="25"/>
  <c r="W31" i="33"/>
  <c r="Q14" i="54"/>
  <c r="Q7" i="54"/>
  <c r="Q83" i="54" l="1"/>
  <c r="Q81" i="54"/>
  <c r="Q66" i="54"/>
  <c r="Q65" i="54"/>
  <c r="Q64" i="54"/>
  <c r="Q63" i="54"/>
  <c r="Q62" i="54"/>
  <c r="Q61" i="54"/>
  <c r="R36" i="54"/>
  <c r="R34" i="54"/>
  <c r="E50" i="54" l="1"/>
  <c r="B50" i="54"/>
  <c r="P105" i="54"/>
  <c r="K105" i="54"/>
  <c r="F105" i="54"/>
  <c r="P85" i="54"/>
  <c r="P84" i="54"/>
  <c r="P82" i="54"/>
  <c r="P80" i="54"/>
  <c r="P79" i="54"/>
  <c r="K85" i="54"/>
  <c r="K84" i="54"/>
  <c r="K82" i="54"/>
  <c r="K80" i="54"/>
  <c r="K79" i="54"/>
  <c r="F84" i="54"/>
  <c r="F80" i="54"/>
  <c r="F79" i="54"/>
  <c r="F85" i="54"/>
  <c r="F82" i="54"/>
  <c r="P75" i="54"/>
  <c r="P74" i="54"/>
  <c r="P73" i="54"/>
  <c r="P72" i="54"/>
  <c r="P71" i="54"/>
  <c r="P70" i="54"/>
  <c r="K75" i="54"/>
  <c r="K74" i="54"/>
  <c r="K73" i="54"/>
  <c r="K72" i="54"/>
  <c r="K71" i="54"/>
  <c r="K70" i="54"/>
  <c r="F75" i="54"/>
  <c r="F74" i="54"/>
  <c r="F73" i="54"/>
  <c r="F72" i="54"/>
  <c r="F71" i="54"/>
  <c r="F70" i="54"/>
  <c r="P55" i="54"/>
  <c r="K55" i="54"/>
  <c r="F55" i="54"/>
  <c r="P51" i="54"/>
  <c r="P49" i="54"/>
  <c r="P44" i="54"/>
  <c r="P43" i="54"/>
  <c r="P42" i="54"/>
  <c r="K51" i="54"/>
  <c r="K49" i="54"/>
  <c r="K44" i="54"/>
  <c r="K43" i="54"/>
  <c r="K42" i="54"/>
  <c r="F51" i="54"/>
  <c r="F49" i="54"/>
  <c r="F44" i="54"/>
  <c r="F43" i="54"/>
  <c r="F42" i="54"/>
  <c r="P36" i="54"/>
  <c r="P34" i="54"/>
  <c r="P31" i="54"/>
  <c r="P30" i="54"/>
  <c r="K36" i="54"/>
  <c r="K34" i="54"/>
  <c r="K31" i="54"/>
  <c r="K30" i="54"/>
  <c r="F31" i="54"/>
  <c r="F30" i="54"/>
  <c r="F36" i="54"/>
  <c r="F34" i="54"/>
  <c r="P15" i="54"/>
  <c r="P14" i="54"/>
  <c r="P13" i="54"/>
  <c r="P11" i="54"/>
  <c r="P8" i="54"/>
  <c r="P7" i="54"/>
  <c r="P6" i="54"/>
  <c r="P5" i="54"/>
  <c r="K15" i="54"/>
  <c r="K14" i="54"/>
  <c r="K13" i="54"/>
  <c r="K11" i="54"/>
  <c r="K8" i="54"/>
  <c r="K7" i="54"/>
  <c r="K6" i="54"/>
  <c r="K5" i="54"/>
  <c r="F15" i="54"/>
  <c r="F14" i="54"/>
  <c r="F13" i="54"/>
  <c r="F11" i="54"/>
  <c r="F8" i="54"/>
  <c r="F7" i="54"/>
  <c r="F6" i="54"/>
  <c r="F5" i="54"/>
  <c r="F35" i="54" l="1"/>
  <c r="F83" i="54"/>
  <c r="F12" i="54"/>
  <c r="K32" i="54"/>
  <c r="P35" i="54"/>
  <c r="K9" i="54"/>
  <c r="F32" i="54"/>
  <c r="F50" i="54"/>
  <c r="F81" i="54"/>
  <c r="P81" i="54"/>
  <c r="P32" i="54"/>
  <c r="P83" i="54"/>
  <c r="K12" i="54"/>
  <c r="P12" i="54"/>
  <c r="K50" i="54"/>
  <c r="F9" i="54"/>
  <c r="P50" i="54"/>
  <c r="K81" i="54"/>
  <c r="P9" i="54"/>
  <c r="K83" i="54"/>
  <c r="K35" i="54"/>
  <c r="R49" i="54" l="1"/>
  <c r="Q50" i="54"/>
  <c r="O50" i="54"/>
  <c r="N50" i="54"/>
  <c r="M50" i="54"/>
  <c r="L50" i="54"/>
  <c r="J50" i="54"/>
  <c r="I50" i="54"/>
  <c r="H50" i="54"/>
  <c r="G50" i="54"/>
  <c r="D50" i="54"/>
  <c r="C50" i="54"/>
  <c r="O47" i="54"/>
  <c r="N47" i="54"/>
  <c r="M47" i="54"/>
  <c r="L47" i="54"/>
  <c r="J47" i="54"/>
  <c r="I47" i="54"/>
  <c r="H47" i="54"/>
  <c r="G47" i="54"/>
  <c r="E47" i="54"/>
  <c r="D47" i="54"/>
  <c r="C47" i="54"/>
  <c r="B47" i="54"/>
  <c r="N41" i="54"/>
  <c r="M41" i="54"/>
  <c r="L41" i="54"/>
  <c r="J41" i="54"/>
  <c r="I41" i="54"/>
  <c r="H41" i="54"/>
  <c r="G41" i="54"/>
  <c r="E41" i="54"/>
  <c r="D41" i="54"/>
  <c r="C41" i="54"/>
  <c r="B41" i="54"/>
  <c r="R42" i="54"/>
  <c r="F47" i="54" l="1"/>
  <c r="P47" i="54"/>
  <c r="K47" i="54"/>
  <c r="F41" i="54"/>
  <c r="F45" i="54" s="1"/>
  <c r="K41" i="54"/>
  <c r="K45" i="54" s="1"/>
  <c r="P41" i="54"/>
  <c r="P45" i="54" s="1"/>
  <c r="R50" i="54"/>
  <c r="P48" i="54" l="1"/>
  <c r="K48" i="54"/>
  <c r="F48" i="54"/>
  <c r="R84" i="54"/>
  <c r="R43" i="25" l="1"/>
  <c r="I98" i="54" l="1"/>
  <c r="H98" i="54"/>
  <c r="G98" i="54"/>
  <c r="F98" i="54"/>
  <c r="O20" i="54" l="1"/>
  <c r="E20" i="54"/>
  <c r="E24" i="54"/>
  <c r="A35" i="32" l="1"/>
  <c r="A36" i="32"/>
  <c r="C45" i="33"/>
  <c r="D57" i="33"/>
  <c r="E57" i="33"/>
  <c r="F57" i="33" l="1"/>
  <c r="I57" i="33"/>
  <c r="J57" i="33"/>
  <c r="K57" i="33"/>
  <c r="M57" i="33"/>
  <c r="N57" i="33"/>
  <c r="O57" i="33"/>
  <c r="P57" i="33"/>
  <c r="R57" i="33"/>
  <c r="S57" i="33"/>
  <c r="T57" i="33"/>
  <c r="U57" i="33"/>
  <c r="V57" i="33"/>
  <c r="W57" i="33"/>
  <c r="X57" i="33"/>
  <c r="U58" i="33"/>
  <c r="V58" i="33"/>
  <c r="W58" i="33"/>
  <c r="X58" i="33"/>
  <c r="U59" i="33"/>
  <c r="V59" i="33"/>
  <c r="W59" i="33"/>
  <c r="X59" i="33"/>
  <c r="H57" i="33"/>
  <c r="V65" i="25"/>
  <c r="V66" i="25"/>
  <c r="R65" i="25"/>
  <c r="S65" i="25"/>
  <c r="T65" i="25"/>
  <c r="U65" i="25"/>
  <c r="U66" i="25"/>
  <c r="D65" i="25"/>
  <c r="E65" i="25"/>
  <c r="F65" i="25"/>
  <c r="G65" i="25"/>
  <c r="H65" i="25"/>
  <c r="I65" i="25"/>
  <c r="J65" i="25"/>
  <c r="K65" i="25"/>
  <c r="L65" i="25"/>
  <c r="M65" i="25"/>
  <c r="N65" i="25"/>
  <c r="O65" i="25"/>
  <c r="P65" i="25"/>
  <c r="Q65" i="25"/>
  <c r="C65" i="25"/>
  <c r="Q105" i="54"/>
  <c r="U36" i="33" l="1"/>
  <c r="V36" i="33"/>
  <c r="R44" i="25" l="1"/>
  <c r="R42" i="25"/>
  <c r="H24" i="25"/>
  <c r="G24" i="25"/>
  <c r="F24" i="25"/>
  <c r="E24" i="25"/>
  <c r="D24" i="25"/>
  <c r="R11" i="25" l="1"/>
  <c r="R16" i="25"/>
  <c r="R27" i="25"/>
  <c r="R25" i="25"/>
  <c r="Q25" i="25"/>
  <c r="P25" i="25"/>
  <c r="O25" i="25"/>
  <c r="O24" i="25"/>
  <c r="P24" i="25"/>
  <c r="Q24" i="25"/>
  <c r="R24" i="25"/>
  <c r="R55" i="25" s="1"/>
  <c r="R28" i="25" l="1"/>
  <c r="A25" i="32"/>
  <c r="Q25" i="32"/>
  <c r="A26" i="32"/>
  <c r="Q26" i="32"/>
  <c r="A27" i="32"/>
  <c r="Q27" i="32"/>
  <c r="J98" i="54"/>
  <c r="R14" i="54"/>
  <c r="R85" i="54"/>
  <c r="R82" i="54"/>
  <c r="S14" i="54" s="1"/>
  <c r="R80" i="54"/>
  <c r="R79" i="54"/>
  <c r="S7" i="54" s="1"/>
  <c r="O81" i="54"/>
  <c r="N81" i="54"/>
  <c r="M81" i="54"/>
  <c r="L81" i="54"/>
  <c r="R81" i="54" s="1"/>
  <c r="J81" i="54"/>
  <c r="I81" i="54"/>
  <c r="H81" i="54"/>
  <c r="G81" i="54"/>
  <c r="E81" i="54"/>
  <c r="D81" i="54"/>
  <c r="C81" i="54"/>
  <c r="B81" i="54"/>
  <c r="R104" i="54" l="1"/>
  <c r="E83" i="54"/>
  <c r="L66" i="54"/>
  <c r="G66" i="54"/>
  <c r="L65" i="54"/>
  <c r="G65" i="54"/>
  <c r="L64" i="54"/>
  <c r="G64" i="54"/>
  <c r="L63" i="54"/>
  <c r="G63" i="54"/>
  <c r="L62" i="54"/>
  <c r="G62" i="54"/>
  <c r="L61" i="54"/>
  <c r="G61" i="54"/>
  <c r="B66" i="54"/>
  <c r="B65" i="54"/>
  <c r="B64" i="54"/>
  <c r="B63" i="54"/>
  <c r="B62" i="54"/>
  <c r="B61" i="54"/>
  <c r="B83" i="54" l="1"/>
  <c r="L83" i="54"/>
  <c r="R83" i="54" s="1"/>
  <c r="G83" i="54"/>
  <c r="O83" i="54"/>
  <c r="J83" i="54"/>
  <c r="N83" i="54"/>
  <c r="I83" i="54"/>
  <c r="D83" i="54"/>
  <c r="M83" i="54"/>
  <c r="H83" i="54"/>
  <c r="C83" i="54"/>
  <c r="Q26" i="54" l="1"/>
  <c r="Q24" i="54"/>
  <c r="Q21" i="54"/>
  <c r="Q20" i="54"/>
  <c r="L26" i="54"/>
  <c r="R26" i="54" s="1"/>
  <c r="L24" i="54"/>
  <c r="L21" i="54"/>
  <c r="L20" i="54"/>
  <c r="G26" i="54"/>
  <c r="G24" i="54"/>
  <c r="G21" i="54"/>
  <c r="G20" i="54"/>
  <c r="B26" i="54"/>
  <c r="B24" i="54"/>
  <c r="B21" i="54"/>
  <c r="B20" i="54"/>
  <c r="R105" i="54"/>
  <c r="R24" i="54" l="1"/>
  <c r="C66" i="54"/>
  <c r="C65" i="54"/>
  <c r="C64" i="54"/>
  <c r="C63" i="54"/>
  <c r="C62" i="54"/>
  <c r="C61" i="54"/>
  <c r="D66" i="54"/>
  <c r="D65" i="54"/>
  <c r="D64" i="54"/>
  <c r="D63" i="54"/>
  <c r="D62" i="54"/>
  <c r="D61" i="54"/>
  <c r="J61" i="54"/>
  <c r="J66" i="54"/>
  <c r="J64" i="54"/>
  <c r="J62" i="54"/>
  <c r="J65" i="54"/>
  <c r="J63" i="54"/>
  <c r="I65" i="54"/>
  <c r="I63" i="54"/>
  <c r="I61" i="54"/>
  <c r="I66" i="54"/>
  <c r="I64" i="54"/>
  <c r="I62" i="54"/>
  <c r="E66" i="54"/>
  <c r="E65" i="54"/>
  <c r="E64" i="54"/>
  <c r="E63" i="54"/>
  <c r="E62" i="54"/>
  <c r="E61" i="54"/>
  <c r="M64" i="54"/>
  <c r="M65" i="54"/>
  <c r="M63" i="54"/>
  <c r="M61" i="54"/>
  <c r="M66" i="54"/>
  <c r="M62" i="54"/>
  <c r="O63" i="54"/>
  <c r="O64" i="54"/>
  <c r="O62" i="54"/>
  <c r="O61" i="54"/>
  <c r="O65" i="54"/>
  <c r="O66" i="54"/>
  <c r="H64" i="54"/>
  <c r="H62" i="54"/>
  <c r="K62" i="54" s="1"/>
  <c r="H65" i="54"/>
  <c r="H63" i="54"/>
  <c r="H61" i="54"/>
  <c r="H66" i="54"/>
  <c r="N65" i="54"/>
  <c r="N63" i="54"/>
  <c r="N66" i="54"/>
  <c r="N61" i="54"/>
  <c r="N64" i="54"/>
  <c r="N62" i="54"/>
  <c r="Q25" i="54"/>
  <c r="H26" i="54"/>
  <c r="N26" i="54"/>
  <c r="C26" i="54"/>
  <c r="O26" i="54"/>
  <c r="C21" i="54"/>
  <c r="J26" i="54"/>
  <c r="D26" i="54"/>
  <c r="B22" i="54"/>
  <c r="D21" i="54"/>
  <c r="M26" i="54"/>
  <c r="B25" i="54"/>
  <c r="I21" i="54"/>
  <c r="I24" i="54"/>
  <c r="N20" i="54"/>
  <c r="N24" i="54"/>
  <c r="J20" i="54"/>
  <c r="J21" i="54"/>
  <c r="J24" i="54"/>
  <c r="O21" i="54"/>
  <c r="O24" i="54"/>
  <c r="I20" i="54"/>
  <c r="I26" i="54"/>
  <c r="N21" i="54"/>
  <c r="D20" i="54"/>
  <c r="C24" i="54"/>
  <c r="F24" i="54" s="1"/>
  <c r="D24" i="54"/>
  <c r="E21" i="54"/>
  <c r="G22" i="54"/>
  <c r="G25" i="54"/>
  <c r="L22" i="54"/>
  <c r="L25" i="54"/>
  <c r="Q22" i="54"/>
  <c r="C20" i="54"/>
  <c r="H20" i="54"/>
  <c r="H21" i="54"/>
  <c r="H24" i="54"/>
  <c r="M20" i="54"/>
  <c r="P20" i="54" s="1"/>
  <c r="M21" i="54"/>
  <c r="M24" i="54"/>
  <c r="O48" i="54"/>
  <c r="N48" i="54"/>
  <c r="M48" i="54"/>
  <c r="L48" i="54"/>
  <c r="J48" i="54"/>
  <c r="I48" i="54"/>
  <c r="H48" i="54"/>
  <c r="G48" i="54"/>
  <c r="E48" i="54"/>
  <c r="D48" i="54"/>
  <c r="C48" i="54"/>
  <c r="B48" i="54"/>
  <c r="O46" i="54"/>
  <c r="N46" i="54"/>
  <c r="M46" i="54"/>
  <c r="L46" i="54"/>
  <c r="J46" i="54"/>
  <c r="I46" i="54"/>
  <c r="H46" i="54"/>
  <c r="G46" i="54"/>
  <c r="E46" i="54"/>
  <c r="D46" i="54"/>
  <c r="C46" i="54"/>
  <c r="B46" i="54"/>
  <c r="O45" i="54"/>
  <c r="N45" i="54"/>
  <c r="M45" i="54"/>
  <c r="L45" i="54"/>
  <c r="J45" i="54"/>
  <c r="I45" i="54"/>
  <c r="H45" i="54"/>
  <c r="G45" i="54"/>
  <c r="E45" i="54"/>
  <c r="D45" i="54"/>
  <c r="C45" i="54"/>
  <c r="B45" i="54"/>
  <c r="K64" i="54" l="1"/>
  <c r="P24" i="54"/>
  <c r="K65" i="54"/>
  <c r="K24" i="54"/>
  <c r="K21" i="54"/>
  <c r="K63" i="54"/>
  <c r="K26" i="54"/>
  <c r="F20" i="54"/>
  <c r="F25" i="54" s="1"/>
  <c r="K46" i="54"/>
  <c r="F26" i="54"/>
  <c r="P61" i="54"/>
  <c r="F46" i="54"/>
  <c r="P46" i="54"/>
  <c r="K20" i="54"/>
  <c r="P26" i="54"/>
  <c r="P25" i="54"/>
  <c r="P21" i="54"/>
  <c r="P22" i="54" s="1"/>
  <c r="F21" i="54"/>
  <c r="F61" i="54"/>
  <c r="P63" i="54"/>
  <c r="F66" i="54"/>
  <c r="K66" i="54"/>
  <c r="P62" i="54"/>
  <c r="P65" i="54"/>
  <c r="F63" i="54"/>
  <c r="F65" i="54"/>
  <c r="F62" i="54"/>
  <c r="K61" i="54"/>
  <c r="P66" i="54"/>
  <c r="P64" i="54"/>
  <c r="F64" i="54"/>
  <c r="M25" i="54"/>
  <c r="H22" i="54"/>
  <c r="E22" i="54"/>
  <c r="O22" i="54"/>
  <c r="C22" i="54"/>
  <c r="H25" i="54"/>
  <c r="D22" i="54"/>
  <c r="J22" i="54"/>
  <c r="E25" i="54"/>
  <c r="M22" i="54"/>
  <c r="C25" i="54"/>
  <c r="I25" i="54"/>
  <c r="D25" i="54"/>
  <c r="O25" i="54"/>
  <c r="J25" i="54"/>
  <c r="N25" i="54"/>
  <c r="I22" i="54"/>
  <c r="N22" i="54"/>
  <c r="K22" i="54" l="1"/>
  <c r="F22" i="54"/>
  <c r="K25" i="54"/>
  <c r="Q35" i="54"/>
  <c r="O35" i="54"/>
  <c r="N35" i="54"/>
  <c r="M35" i="54"/>
  <c r="L35" i="54"/>
  <c r="J35" i="54"/>
  <c r="I35" i="54"/>
  <c r="H35" i="54"/>
  <c r="G35" i="54"/>
  <c r="E35" i="54"/>
  <c r="D35" i="54"/>
  <c r="C35" i="54"/>
  <c r="B35" i="54"/>
  <c r="O33" i="54"/>
  <c r="J33" i="54"/>
  <c r="Q33" i="54"/>
  <c r="Q23" i="54" s="1"/>
  <c r="N33" i="54"/>
  <c r="M33" i="54"/>
  <c r="L33" i="54"/>
  <c r="I33" i="54"/>
  <c r="H33" i="54"/>
  <c r="G33" i="54"/>
  <c r="E33" i="54"/>
  <c r="D33" i="54"/>
  <c r="C33" i="54"/>
  <c r="B33" i="54"/>
  <c r="Q32" i="54"/>
  <c r="O32" i="54"/>
  <c r="N32" i="54"/>
  <c r="M32" i="54"/>
  <c r="L32" i="54"/>
  <c r="J32" i="54"/>
  <c r="I32" i="54"/>
  <c r="H32" i="54"/>
  <c r="G32" i="54"/>
  <c r="E32" i="54"/>
  <c r="D32" i="54"/>
  <c r="C32" i="54"/>
  <c r="B32" i="54"/>
  <c r="O10" i="54"/>
  <c r="N10" i="54"/>
  <c r="M10" i="54"/>
  <c r="L10" i="54"/>
  <c r="J10" i="54"/>
  <c r="I10" i="54"/>
  <c r="H10" i="54"/>
  <c r="G10" i="54"/>
  <c r="E10" i="54"/>
  <c r="D10" i="54"/>
  <c r="C10" i="54"/>
  <c r="B10" i="54"/>
  <c r="R7" i="54"/>
  <c r="O12" i="54"/>
  <c r="N12" i="54"/>
  <c r="M12" i="54"/>
  <c r="L12" i="54"/>
  <c r="J12" i="54"/>
  <c r="G12" i="54"/>
  <c r="E12" i="54"/>
  <c r="D12" i="54"/>
  <c r="C12" i="54"/>
  <c r="A32" i="32"/>
  <c r="P33" i="54" l="1"/>
  <c r="K10" i="54"/>
  <c r="F10" i="54"/>
  <c r="P10" i="54"/>
  <c r="F33" i="54"/>
  <c r="K33" i="54"/>
  <c r="B23" i="54"/>
  <c r="E23" i="54"/>
  <c r="C23" i="54"/>
  <c r="D23" i="54"/>
  <c r="G23" i="54"/>
  <c r="J23" i="54"/>
  <c r="I23" i="54"/>
  <c r="H23" i="54"/>
  <c r="L23" i="54"/>
  <c r="N23" i="54"/>
  <c r="O23" i="54"/>
  <c r="M23" i="54"/>
  <c r="C9" i="54"/>
  <c r="G9" i="54"/>
  <c r="B9" i="54"/>
  <c r="H9" i="54"/>
  <c r="H12" i="54"/>
  <c r="D9" i="54"/>
  <c r="I9" i="54"/>
  <c r="I12" i="54"/>
  <c r="E9" i="54"/>
  <c r="J9" i="54"/>
  <c r="B12" i="54"/>
  <c r="P23" i="54" l="1"/>
  <c r="K23" i="54"/>
  <c r="F23" i="54"/>
  <c r="R75" i="54"/>
  <c r="S66" i="54" s="1"/>
  <c r="R74" i="54"/>
  <c r="S65" i="54" s="1"/>
  <c r="R73" i="54"/>
  <c r="S64" i="54" s="1"/>
  <c r="R72" i="54"/>
  <c r="S63" i="54" s="1"/>
  <c r="R71" i="54"/>
  <c r="S62" i="54" s="1"/>
  <c r="R70" i="54"/>
  <c r="S61" i="54" s="1"/>
  <c r="S26" i="54"/>
  <c r="S24" i="54"/>
  <c r="R33" i="54"/>
  <c r="S23" i="54" s="1"/>
  <c r="R30" i="54"/>
  <c r="S20" i="54" s="1"/>
  <c r="R66" i="54"/>
  <c r="R65" i="54"/>
  <c r="R64" i="54"/>
  <c r="R63" i="54"/>
  <c r="R62" i="54"/>
  <c r="R61" i="54"/>
  <c r="R51" i="54"/>
  <c r="R23" i="54"/>
  <c r="R20" i="54"/>
  <c r="Q10" i="54" l="1"/>
  <c r="R10" i="54" s="1"/>
  <c r="R13" i="54"/>
  <c r="Q12" i="54"/>
  <c r="R32" i="54"/>
  <c r="S22" i="54" s="1"/>
  <c r="R31" i="54"/>
  <c r="S21" i="54" s="1"/>
  <c r="R35" i="54"/>
  <c r="S25" i="54" s="1"/>
  <c r="R25" i="54"/>
  <c r="R5" i="54"/>
  <c r="M9" i="54"/>
  <c r="L9" i="54"/>
  <c r="R15" i="54"/>
  <c r="N9" i="54"/>
  <c r="O9" i="54"/>
  <c r="R8" i="54"/>
  <c r="Q9" i="54"/>
  <c r="R22" i="54"/>
  <c r="R44" i="54"/>
  <c r="R11" i="54"/>
  <c r="R21" i="54"/>
  <c r="A42" i="32"/>
  <c r="A41" i="32"/>
  <c r="A40" i="32"/>
  <c r="A38" i="32"/>
  <c r="A37" i="32"/>
  <c r="A34" i="32"/>
  <c r="Q31" i="32"/>
  <c r="P31" i="32"/>
  <c r="O31" i="32"/>
  <c r="Q30" i="32"/>
  <c r="C5" i="32"/>
  <c r="B5" i="32"/>
  <c r="A31" i="32"/>
  <c r="A30" i="32"/>
  <c r="A29" i="32"/>
  <c r="A28" i="32"/>
  <c r="V28" i="33"/>
  <c r="V27" i="33"/>
  <c r="Q28" i="33"/>
  <c r="Q27" i="33"/>
  <c r="L28" i="33"/>
  <c r="L27" i="33"/>
  <c r="G28" i="33"/>
  <c r="G27" i="33"/>
  <c r="U26" i="33"/>
  <c r="T26" i="33"/>
  <c r="S26" i="33"/>
  <c r="R26" i="33"/>
  <c r="P26" i="33"/>
  <c r="O26" i="33"/>
  <c r="N26" i="33"/>
  <c r="M26" i="33"/>
  <c r="K26" i="33"/>
  <c r="J26" i="33"/>
  <c r="I26" i="33"/>
  <c r="H26" i="33"/>
  <c r="F26" i="33"/>
  <c r="E26" i="33"/>
  <c r="D26" i="33"/>
  <c r="C26" i="33"/>
  <c r="G26" i="33" l="1"/>
  <c r="L26" i="33"/>
  <c r="Q26" i="33"/>
  <c r="V26" i="33"/>
  <c r="R6" i="54"/>
  <c r="R12" i="54"/>
  <c r="P30" i="32" l="1"/>
  <c r="O30" i="32"/>
  <c r="V39" i="33"/>
  <c r="E63" i="25"/>
  <c r="E62" i="25"/>
  <c r="V32" i="33"/>
  <c r="P27" i="32" s="1"/>
  <c r="U32" i="33"/>
  <c r="O27" i="32" s="1"/>
  <c r="V31" i="33"/>
  <c r="P26" i="32" s="1"/>
  <c r="U31" i="33"/>
  <c r="O26" i="32" s="1"/>
  <c r="V30" i="33"/>
  <c r="P25" i="32" s="1"/>
  <c r="U30" i="33"/>
  <c r="O25" i="32" s="1"/>
  <c r="N44" i="31"/>
  <c r="M44" i="31"/>
  <c r="N43" i="31"/>
  <c r="M43" i="31"/>
  <c r="N42" i="31"/>
  <c r="A50" i="31"/>
  <c r="A51" i="31"/>
  <c r="A42" i="31"/>
  <c r="A43" i="31"/>
  <c r="A44" i="31"/>
  <c r="A45" i="31"/>
  <c r="A46" i="31"/>
  <c r="R41" i="25" l="1"/>
  <c r="E61" i="25"/>
  <c r="A48" i="31"/>
  <c r="P22" i="32"/>
  <c r="O22" i="32"/>
  <c r="A22" i="32"/>
  <c r="P21" i="32"/>
  <c r="O21" i="32"/>
  <c r="A21" i="32"/>
  <c r="P20" i="32"/>
  <c r="O20" i="32"/>
  <c r="A20" i="32"/>
  <c r="P19" i="32"/>
  <c r="A19" i="32"/>
  <c r="P18" i="32"/>
  <c r="O18" i="32"/>
  <c r="A18" i="32"/>
  <c r="P17" i="32"/>
  <c r="O17" i="32"/>
  <c r="A17" i="32"/>
  <c r="P16" i="32"/>
  <c r="O16" i="32"/>
  <c r="A16" i="32"/>
  <c r="P15" i="32"/>
  <c r="O15" i="32"/>
  <c r="A15" i="32"/>
  <c r="P14" i="32"/>
  <c r="O14" i="32"/>
  <c r="A14" i="32"/>
  <c r="P13" i="32"/>
  <c r="O13" i="32"/>
  <c r="A13" i="32"/>
  <c r="P12" i="32"/>
  <c r="O12" i="32"/>
  <c r="A12" i="32"/>
  <c r="Q11" i="32"/>
  <c r="P11" i="32"/>
  <c r="O11" i="32"/>
  <c r="A11" i="32"/>
  <c r="Q10" i="32"/>
  <c r="P10" i="32"/>
  <c r="O10" i="32"/>
  <c r="A10" i="32"/>
  <c r="Q9" i="32"/>
  <c r="P9" i="32"/>
  <c r="O9" i="32"/>
  <c r="A9" i="32"/>
  <c r="Q8" i="32"/>
  <c r="P8" i="32"/>
  <c r="O8" i="32"/>
  <c r="A8" i="32"/>
  <c r="Q7" i="32"/>
  <c r="P7" i="32"/>
  <c r="O7" i="32"/>
  <c r="A7" i="32"/>
  <c r="Q6" i="32"/>
  <c r="P6" i="32"/>
  <c r="O6" i="32"/>
  <c r="A6" i="32"/>
  <c r="Q5" i="32"/>
  <c r="P5" i="32"/>
  <c r="O5" i="32"/>
  <c r="N5" i="32"/>
  <c r="K5" i="32"/>
  <c r="J5" i="32"/>
  <c r="I5" i="32"/>
  <c r="F5" i="32"/>
  <c r="E5" i="32"/>
  <c r="D5" i="32"/>
  <c r="A5" i="32"/>
  <c r="M42" i="31" l="1"/>
  <c r="R56" i="25"/>
  <c r="X53" i="25"/>
  <c r="W53" i="25"/>
  <c r="V53" i="25"/>
  <c r="U53" i="25"/>
  <c r="T53" i="25"/>
  <c r="S53" i="25"/>
  <c r="R53" i="25"/>
  <c r="M7" i="31"/>
  <c r="N7" i="31"/>
  <c r="M8" i="31"/>
  <c r="N8" i="31"/>
  <c r="M9" i="31"/>
  <c r="N9" i="31"/>
  <c r="M10" i="31"/>
  <c r="N10" i="31"/>
  <c r="M11" i="31"/>
  <c r="N11" i="31"/>
  <c r="M12" i="31"/>
  <c r="N12" i="31"/>
  <c r="M13" i="31"/>
  <c r="N13" i="31"/>
  <c r="M14" i="31"/>
  <c r="N14" i="31"/>
  <c r="M15" i="31"/>
  <c r="N15" i="31"/>
  <c r="M16" i="31"/>
  <c r="N16" i="31"/>
  <c r="M17" i="31"/>
  <c r="N17" i="31"/>
  <c r="M19" i="31"/>
  <c r="N19" i="31"/>
  <c r="M20" i="31"/>
  <c r="N20" i="31"/>
  <c r="M21" i="31"/>
  <c r="N21" i="31"/>
  <c r="M22" i="31"/>
  <c r="N22" i="31"/>
  <c r="M23" i="31"/>
  <c r="N23" i="31"/>
  <c r="M24" i="31"/>
  <c r="N24" i="31"/>
  <c r="M25" i="31"/>
  <c r="N25" i="31"/>
  <c r="M26" i="31"/>
  <c r="N26" i="31"/>
  <c r="M27" i="31"/>
  <c r="N27" i="31"/>
  <c r="M28" i="31"/>
  <c r="N28" i="31"/>
  <c r="M29" i="31"/>
  <c r="N29" i="31"/>
  <c r="M31" i="31"/>
  <c r="N31" i="31"/>
  <c r="M32" i="31"/>
  <c r="N32" i="31"/>
  <c r="M33" i="31"/>
  <c r="N33" i="31"/>
  <c r="M34" i="31"/>
  <c r="N34" i="31"/>
  <c r="M35" i="31"/>
  <c r="N35" i="31"/>
  <c r="M36" i="31"/>
  <c r="N36" i="31"/>
  <c r="M37" i="31"/>
  <c r="N37" i="31"/>
  <c r="M38" i="31"/>
  <c r="N38" i="31"/>
  <c r="M39" i="31"/>
  <c r="N39" i="31"/>
  <c r="A39" i="31"/>
  <c r="A7" i="31"/>
  <c r="P14" i="25" l="1"/>
  <c r="K14" i="31" s="1"/>
  <c r="AL24" i="33" l="1"/>
  <c r="AL23" i="33"/>
  <c r="AL22" i="33"/>
  <c r="AL20" i="33"/>
  <c r="AL19" i="33"/>
  <c r="AL18" i="33"/>
  <c r="AL17" i="33"/>
  <c r="AL16" i="33"/>
  <c r="AL15" i="33"/>
  <c r="AL14" i="33"/>
  <c r="AL13" i="33"/>
  <c r="AL12" i="33"/>
  <c r="AL11" i="33"/>
  <c r="AL10" i="33"/>
  <c r="AL9" i="33"/>
  <c r="AL8" i="33"/>
  <c r="AO24" i="33"/>
  <c r="AN24" i="33"/>
  <c r="AM24" i="33"/>
  <c r="AO23" i="33"/>
  <c r="AN23" i="33"/>
  <c r="AM23" i="33"/>
  <c r="AO22" i="33"/>
  <c r="AN22" i="33"/>
  <c r="AM22" i="33"/>
  <c r="AO20" i="33"/>
  <c r="AN20" i="33"/>
  <c r="AM20" i="33"/>
  <c r="AO19" i="33"/>
  <c r="AN19" i="33"/>
  <c r="AM19" i="33"/>
  <c r="AO18" i="33"/>
  <c r="AN18" i="33"/>
  <c r="AM18" i="33"/>
  <c r="AO17" i="33"/>
  <c r="AN17" i="33"/>
  <c r="AM17" i="33"/>
  <c r="AO16" i="33"/>
  <c r="AN16" i="33"/>
  <c r="AM16" i="33"/>
  <c r="AO15" i="33"/>
  <c r="AN15" i="33"/>
  <c r="AM15" i="33"/>
  <c r="AO14" i="33"/>
  <c r="AN14" i="33"/>
  <c r="AM14" i="33"/>
  <c r="AO13" i="33"/>
  <c r="AN13" i="33"/>
  <c r="AM13" i="33"/>
  <c r="AO12" i="33"/>
  <c r="AN12" i="33"/>
  <c r="AM12" i="33"/>
  <c r="AO11" i="33"/>
  <c r="AN11" i="33"/>
  <c r="AM11" i="33"/>
  <c r="AO10" i="33"/>
  <c r="AN10" i="33"/>
  <c r="AM10" i="33"/>
  <c r="AO9" i="33"/>
  <c r="AN9" i="33"/>
  <c r="AM9" i="33"/>
  <c r="AO8" i="33"/>
  <c r="AN8" i="33"/>
  <c r="AM8" i="33"/>
  <c r="T8" i="33"/>
  <c r="N6" i="32" s="1"/>
  <c r="T24" i="33"/>
  <c r="N22" i="32" s="1"/>
  <c r="T23" i="33"/>
  <c r="N21" i="32" s="1"/>
  <c r="T22" i="33"/>
  <c r="T20" i="33"/>
  <c r="T19" i="33"/>
  <c r="N17" i="32" s="1"/>
  <c r="T18" i="33"/>
  <c r="N16" i="32" s="1"/>
  <c r="T17" i="33"/>
  <c r="N15" i="32" s="1"/>
  <c r="T16" i="33"/>
  <c r="N14" i="32" s="1"/>
  <c r="T15" i="33"/>
  <c r="N13" i="32" s="1"/>
  <c r="T14" i="33"/>
  <c r="N12" i="32" s="1"/>
  <c r="T13" i="33"/>
  <c r="N11" i="32" s="1"/>
  <c r="T12" i="33"/>
  <c r="T36" i="33" s="1"/>
  <c r="N31" i="32" s="1"/>
  <c r="T11" i="33"/>
  <c r="N9" i="32" s="1"/>
  <c r="T10" i="33"/>
  <c r="T9" i="33"/>
  <c r="S22" i="33"/>
  <c r="M20" i="32" s="1"/>
  <c r="S20" i="33"/>
  <c r="S8" i="33"/>
  <c r="M6" i="32" s="1"/>
  <c r="S24" i="33"/>
  <c r="M22" i="32" s="1"/>
  <c r="S23" i="33"/>
  <c r="M21" i="32" s="1"/>
  <c r="S19" i="33"/>
  <c r="M17" i="32" s="1"/>
  <c r="S18" i="33"/>
  <c r="M16" i="32" s="1"/>
  <c r="S17" i="33"/>
  <c r="M15" i="32" s="1"/>
  <c r="S16" i="33"/>
  <c r="M14" i="32" s="1"/>
  <c r="S15" i="33"/>
  <c r="M13" i="32" s="1"/>
  <c r="S14" i="33"/>
  <c r="M12" i="32" s="1"/>
  <c r="S13" i="33"/>
  <c r="M11" i="32" s="1"/>
  <c r="S12" i="33"/>
  <c r="S36" i="33" s="1"/>
  <c r="M31" i="32" s="1"/>
  <c r="S11" i="33"/>
  <c r="M9" i="32" s="1"/>
  <c r="S10" i="33"/>
  <c r="S9" i="33"/>
  <c r="Q39" i="25"/>
  <c r="Q38" i="25"/>
  <c r="Q37" i="25"/>
  <c r="L37" i="31" s="1"/>
  <c r="Q36" i="25"/>
  <c r="L36" i="31" s="1"/>
  <c r="Q35" i="25"/>
  <c r="L35" i="31" s="1"/>
  <c r="Q34" i="25"/>
  <c r="L34" i="31" s="1"/>
  <c r="Q33" i="25"/>
  <c r="L33" i="31" s="1"/>
  <c r="Q32" i="25"/>
  <c r="L32" i="31" s="1"/>
  <c r="Q31" i="25"/>
  <c r="L31" i="31" s="1"/>
  <c r="Q29" i="25"/>
  <c r="Q27" i="25"/>
  <c r="L27" i="31" s="1"/>
  <c r="Q26" i="25"/>
  <c r="L26" i="31" s="1"/>
  <c r="L25" i="31"/>
  <c r="L24" i="31"/>
  <c r="Q23" i="25"/>
  <c r="L23" i="31" s="1"/>
  <c r="Q20" i="25"/>
  <c r="L20" i="31" s="1"/>
  <c r="Q19" i="25"/>
  <c r="L19" i="31" s="1"/>
  <c r="Q17" i="25"/>
  <c r="Q15" i="25"/>
  <c r="L15" i="31" s="1"/>
  <c r="Q14" i="25"/>
  <c r="L14" i="31" s="1"/>
  <c r="Q13" i="25"/>
  <c r="L13" i="31" s="1"/>
  <c r="Q12" i="25"/>
  <c r="Q10" i="25"/>
  <c r="L10" i="31" s="1"/>
  <c r="Q9" i="25"/>
  <c r="L9" i="31" s="1"/>
  <c r="Q8" i="25"/>
  <c r="L8" i="31" s="1"/>
  <c r="Q7" i="25"/>
  <c r="P35" i="25"/>
  <c r="K35" i="31" s="1"/>
  <c r="P34" i="25"/>
  <c r="K34" i="31" s="1"/>
  <c r="P9" i="25"/>
  <c r="K9" i="31" s="1"/>
  <c r="P39" i="25"/>
  <c r="P38" i="25"/>
  <c r="P37" i="25"/>
  <c r="K37" i="31" s="1"/>
  <c r="P36" i="25"/>
  <c r="K36" i="31" s="1"/>
  <c r="P33" i="25"/>
  <c r="K33" i="31" s="1"/>
  <c r="P32" i="25"/>
  <c r="K32" i="31" s="1"/>
  <c r="P31" i="25"/>
  <c r="K31" i="31" s="1"/>
  <c r="P29" i="25"/>
  <c r="P27" i="25"/>
  <c r="K27" i="31" s="1"/>
  <c r="P26" i="25"/>
  <c r="K26" i="31" s="1"/>
  <c r="K25" i="31"/>
  <c r="K24" i="31"/>
  <c r="P23" i="25"/>
  <c r="K23" i="31" s="1"/>
  <c r="P21" i="25"/>
  <c r="P55" i="25" s="1"/>
  <c r="P20" i="25"/>
  <c r="K20" i="31" s="1"/>
  <c r="P19" i="25"/>
  <c r="K19" i="31" s="1"/>
  <c r="P17" i="25"/>
  <c r="P15" i="25"/>
  <c r="K15" i="31" s="1"/>
  <c r="P13" i="25"/>
  <c r="P12" i="25"/>
  <c r="K12" i="31" s="1"/>
  <c r="P10" i="25"/>
  <c r="K10" i="31" s="1"/>
  <c r="P8" i="25"/>
  <c r="K8" i="31" s="1"/>
  <c r="P7" i="25"/>
  <c r="J25" i="31"/>
  <c r="F15" i="25"/>
  <c r="F36" i="25"/>
  <c r="F39" i="25"/>
  <c r="F38" i="25"/>
  <c r="F59" i="33" s="1"/>
  <c r="F37" i="25"/>
  <c r="F35" i="25"/>
  <c r="F34" i="25"/>
  <c r="F33" i="25"/>
  <c r="F32" i="25"/>
  <c r="F31" i="25"/>
  <c r="F29" i="25"/>
  <c r="F27" i="25"/>
  <c r="F26" i="25"/>
  <c r="F25" i="25"/>
  <c r="F23" i="25"/>
  <c r="F21" i="25"/>
  <c r="F20" i="25"/>
  <c r="F19" i="25"/>
  <c r="F17" i="25"/>
  <c r="F58" i="33" s="1"/>
  <c r="F14" i="25"/>
  <c r="F13" i="25"/>
  <c r="F12" i="25"/>
  <c r="F10" i="25"/>
  <c r="F9" i="25"/>
  <c r="F8" i="25"/>
  <c r="F7" i="25"/>
  <c r="E39" i="25"/>
  <c r="E38" i="25"/>
  <c r="E59" i="33" s="1"/>
  <c r="E37" i="25"/>
  <c r="E36" i="25"/>
  <c r="E35" i="25"/>
  <c r="E34" i="25"/>
  <c r="E33" i="25"/>
  <c r="E32" i="25"/>
  <c r="E31" i="25"/>
  <c r="E29" i="25"/>
  <c r="E43" i="25" s="1"/>
  <c r="E27" i="25"/>
  <c r="E26" i="25"/>
  <c r="E25" i="25"/>
  <c r="E23" i="25"/>
  <c r="E21" i="25"/>
  <c r="E20" i="25"/>
  <c r="E19" i="25"/>
  <c r="E17" i="25"/>
  <c r="E58" i="33" s="1"/>
  <c r="E15" i="25"/>
  <c r="E14" i="25"/>
  <c r="E13" i="25"/>
  <c r="E12" i="25"/>
  <c r="E10" i="25"/>
  <c r="E9" i="25"/>
  <c r="E8" i="25"/>
  <c r="E7" i="25"/>
  <c r="D39" i="25"/>
  <c r="D38" i="25"/>
  <c r="D59" i="33" s="1"/>
  <c r="D37" i="25"/>
  <c r="D36" i="25"/>
  <c r="D35" i="25"/>
  <c r="D34" i="25"/>
  <c r="D33" i="25"/>
  <c r="D32" i="25"/>
  <c r="D31" i="25"/>
  <c r="D29" i="25"/>
  <c r="D27" i="25"/>
  <c r="D26" i="25"/>
  <c r="D25" i="25"/>
  <c r="D23" i="25"/>
  <c r="D21" i="25"/>
  <c r="D20" i="25"/>
  <c r="D19" i="25"/>
  <c r="D17" i="25"/>
  <c r="D58" i="33" s="1"/>
  <c r="D15" i="25"/>
  <c r="D14" i="25"/>
  <c r="D13" i="25"/>
  <c r="D12" i="25"/>
  <c r="D10" i="25"/>
  <c r="D9" i="25"/>
  <c r="D8" i="25"/>
  <c r="D44" i="25" s="1"/>
  <c r="D7" i="25"/>
  <c r="C36" i="25"/>
  <c r="C26" i="25"/>
  <c r="C15" i="25"/>
  <c r="C39" i="25"/>
  <c r="C38" i="25"/>
  <c r="C47" i="33" s="1"/>
  <c r="C37" i="25"/>
  <c r="C35" i="25"/>
  <c r="C34" i="25"/>
  <c r="C33" i="25"/>
  <c r="C32" i="25"/>
  <c r="C31" i="25"/>
  <c r="C29" i="25"/>
  <c r="C27" i="25"/>
  <c r="C25" i="25"/>
  <c r="C24" i="25"/>
  <c r="C23" i="25"/>
  <c r="C21" i="25"/>
  <c r="C20" i="25"/>
  <c r="C19" i="25"/>
  <c r="C17" i="25"/>
  <c r="C46" i="33" s="1"/>
  <c r="C14" i="25"/>
  <c r="C13" i="25"/>
  <c r="C12" i="25"/>
  <c r="C10" i="25"/>
  <c r="C9" i="25"/>
  <c r="C8" i="25"/>
  <c r="C7" i="25"/>
  <c r="C42" i="25" s="1"/>
  <c r="J24" i="31"/>
  <c r="O21" i="25"/>
  <c r="O20" i="25"/>
  <c r="J20" i="31" s="1"/>
  <c r="O39" i="25"/>
  <c r="O38" i="25"/>
  <c r="O37" i="25"/>
  <c r="J37" i="31" s="1"/>
  <c r="O36" i="25"/>
  <c r="J36" i="31" s="1"/>
  <c r="O35" i="25"/>
  <c r="J35" i="31" s="1"/>
  <c r="O34" i="25"/>
  <c r="J34" i="31" s="1"/>
  <c r="O33" i="25"/>
  <c r="J33" i="31" s="1"/>
  <c r="O32" i="25"/>
  <c r="J32" i="31" s="1"/>
  <c r="O31" i="25"/>
  <c r="J31" i="31" s="1"/>
  <c r="O29" i="25"/>
  <c r="O27" i="25"/>
  <c r="J27" i="31" s="1"/>
  <c r="O26" i="25"/>
  <c r="J26" i="31" s="1"/>
  <c r="O23" i="25"/>
  <c r="J23" i="31" s="1"/>
  <c r="O19" i="25"/>
  <c r="J19" i="31" s="1"/>
  <c r="O17" i="25"/>
  <c r="O15" i="25"/>
  <c r="J15" i="31" s="1"/>
  <c r="O14" i="25"/>
  <c r="J14" i="31" s="1"/>
  <c r="O13" i="25"/>
  <c r="O12" i="25"/>
  <c r="J12" i="31" s="1"/>
  <c r="O10" i="25"/>
  <c r="J10" i="31" s="1"/>
  <c r="O9" i="25"/>
  <c r="J9" i="31" s="1"/>
  <c r="O8" i="25"/>
  <c r="O7" i="25"/>
  <c r="R8" i="33"/>
  <c r="L6" i="32" s="1"/>
  <c r="R24" i="33"/>
  <c r="L22" i="32" s="1"/>
  <c r="R23" i="33"/>
  <c r="L21" i="32" s="1"/>
  <c r="R22" i="33"/>
  <c r="L20" i="32" s="1"/>
  <c r="R20" i="33"/>
  <c r="R19" i="33"/>
  <c r="L17" i="32" s="1"/>
  <c r="R18" i="33"/>
  <c r="L16" i="32" s="1"/>
  <c r="R17" i="33"/>
  <c r="L15" i="32" s="1"/>
  <c r="R16" i="33"/>
  <c r="L14" i="32" s="1"/>
  <c r="R15" i="33"/>
  <c r="L13" i="32" s="1"/>
  <c r="R14" i="33"/>
  <c r="L12" i="32" s="1"/>
  <c r="R13" i="33"/>
  <c r="L11" i="32" s="1"/>
  <c r="R12" i="33"/>
  <c r="R11" i="33"/>
  <c r="L9" i="32" s="1"/>
  <c r="R10" i="33"/>
  <c r="R9" i="33"/>
  <c r="N39" i="25"/>
  <c r="N38" i="25"/>
  <c r="P59" i="33" s="1"/>
  <c r="N37" i="25"/>
  <c r="I37" i="31" s="1"/>
  <c r="N36" i="25"/>
  <c r="I36" i="31" s="1"/>
  <c r="N35" i="25"/>
  <c r="I35" i="31" s="1"/>
  <c r="N34" i="25"/>
  <c r="I34" i="31" s="1"/>
  <c r="N33" i="25"/>
  <c r="I33" i="31" s="1"/>
  <c r="N32" i="25"/>
  <c r="I32" i="31" s="1"/>
  <c r="N31" i="25"/>
  <c r="I31" i="31" s="1"/>
  <c r="N29" i="25"/>
  <c r="N43" i="25" s="1"/>
  <c r="N27" i="25"/>
  <c r="I27" i="31" s="1"/>
  <c r="N26" i="25"/>
  <c r="I26" i="31" s="1"/>
  <c r="N25" i="25"/>
  <c r="I25" i="31" s="1"/>
  <c r="N24" i="25"/>
  <c r="I24" i="31" s="1"/>
  <c r="N23" i="25"/>
  <c r="I23" i="31" s="1"/>
  <c r="N21" i="25"/>
  <c r="I21" i="31" s="1"/>
  <c r="N20" i="25"/>
  <c r="I20" i="31" s="1"/>
  <c r="N19" i="25"/>
  <c r="N17" i="25"/>
  <c r="P58" i="33" s="1"/>
  <c r="N15" i="25"/>
  <c r="I15" i="31" s="1"/>
  <c r="N14" i="25"/>
  <c r="I14" i="31" s="1"/>
  <c r="N13" i="25"/>
  <c r="I13" i="31" s="1"/>
  <c r="N12" i="25"/>
  <c r="N10" i="25"/>
  <c r="R45" i="25" s="1"/>
  <c r="N9" i="25"/>
  <c r="I9" i="31" s="1"/>
  <c r="N8" i="25"/>
  <c r="I8" i="31" s="1"/>
  <c r="N7" i="25"/>
  <c r="M39" i="25"/>
  <c r="M38" i="25"/>
  <c r="M37" i="25"/>
  <c r="H37" i="31" s="1"/>
  <c r="M36" i="25"/>
  <c r="H36" i="31" s="1"/>
  <c r="M35" i="25"/>
  <c r="H35" i="31" s="1"/>
  <c r="M34" i="25"/>
  <c r="H34" i="31" s="1"/>
  <c r="M33" i="25"/>
  <c r="H33" i="31" s="1"/>
  <c r="M32" i="25"/>
  <c r="H32" i="31" s="1"/>
  <c r="M31" i="25"/>
  <c r="H31" i="31" s="1"/>
  <c r="M29" i="25"/>
  <c r="M27" i="25"/>
  <c r="H27" i="31" s="1"/>
  <c r="M26" i="25"/>
  <c r="H26" i="31" s="1"/>
  <c r="M25" i="25"/>
  <c r="H25" i="31" s="1"/>
  <c r="M24" i="25"/>
  <c r="M23" i="25"/>
  <c r="H23" i="31" s="1"/>
  <c r="M21" i="25"/>
  <c r="M20" i="25"/>
  <c r="H20" i="31" s="1"/>
  <c r="M19" i="25"/>
  <c r="H19" i="31" s="1"/>
  <c r="M17" i="25"/>
  <c r="M15" i="25"/>
  <c r="H15" i="31" s="1"/>
  <c r="M14" i="25"/>
  <c r="H14" i="31" s="1"/>
  <c r="M13" i="25"/>
  <c r="M12" i="25"/>
  <c r="H12" i="31" s="1"/>
  <c r="M10" i="25"/>
  <c r="M9" i="25"/>
  <c r="H9" i="31" s="1"/>
  <c r="M8" i="25"/>
  <c r="H8" i="31" s="1"/>
  <c r="M7" i="25"/>
  <c r="L7" i="25"/>
  <c r="Q19" i="33"/>
  <c r="K17" i="32" s="1"/>
  <c r="Q8" i="33"/>
  <c r="K6" i="32" s="1"/>
  <c r="Q24" i="33"/>
  <c r="Q23" i="33"/>
  <c r="K21" i="32" s="1"/>
  <c r="Q22" i="33"/>
  <c r="K20" i="32" s="1"/>
  <c r="Q20" i="33"/>
  <c r="Q18" i="33"/>
  <c r="K16" i="32" s="1"/>
  <c r="Q17" i="33"/>
  <c r="K15" i="32" s="1"/>
  <c r="Q16" i="33"/>
  <c r="K14" i="32" s="1"/>
  <c r="Q15" i="33"/>
  <c r="K13" i="32" s="1"/>
  <c r="Q14" i="33"/>
  <c r="K12" i="32" s="1"/>
  <c r="Q13" i="33"/>
  <c r="K11" i="32" s="1"/>
  <c r="Q12" i="33"/>
  <c r="Q11" i="33"/>
  <c r="K9" i="32" s="1"/>
  <c r="Q10" i="33"/>
  <c r="Q9" i="33"/>
  <c r="B99" i="43"/>
  <c r="M24" i="33"/>
  <c r="G22" i="32" s="1"/>
  <c r="N24" i="33"/>
  <c r="H22" i="32" s="1"/>
  <c r="O24" i="33"/>
  <c r="I22" i="32" s="1"/>
  <c r="O23" i="33"/>
  <c r="I21" i="32" s="1"/>
  <c r="O22" i="33"/>
  <c r="I20" i="32" s="1"/>
  <c r="O20" i="33"/>
  <c r="O19" i="33"/>
  <c r="I17" i="32" s="1"/>
  <c r="O18" i="33"/>
  <c r="I16" i="32" s="1"/>
  <c r="O17" i="33"/>
  <c r="I15" i="32" s="1"/>
  <c r="O16" i="33"/>
  <c r="I14" i="32" s="1"/>
  <c r="O15" i="33"/>
  <c r="I13" i="32" s="1"/>
  <c r="O14" i="33"/>
  <c r="I12" i="32" s="1"/>
  <c r="O13" i="33"/>
  <c r="I11" i="32" s="1"/>
  <c r="O12" i="33"/>
  <c r="O36" i="33" s="1"/>
  <c r="I31" i="32" s="1"/>
  <c r="O11" i="33"/>
  <c r="I9" i="32" s="1"/>
  <c r="O10" i="33"/>
  <c r="O9" i="33"/>
  <c r="O8" i="33"/>
  <c r="I6" i="32" s="1"/>
  <c r="L39" i="25"/>
  <c r="L38" i="25"/>
  <c r="L37" i="25"/>
  <c r="G37" i="31" s="1"/>
  <c r="L36" i="25"/>
  <c r="G36" i="31" s="1"/>
  <c r="L35" i="25"/>
  <c r="G35" i="31" s="1"/>
  <c r="L34" i="25"/>
  <c r="G34" i="31" s="1"/>
  <c r="L33" i="25"/>
  <c r="G33" i="31" s="1"/>
  <c r="L32" i="25"/>
  <c r="G32" i="31" s="1"/>
  <c r="L31" i="25"/>
  <c r="G31" i="31" s="1"/>
  <c r="L29" i="25"/>
  <c r="L27" i="25"/>
  <c r="G27" i="31" s="1"/>
  <c r="L26" i="25"/>
  <c r="G26" i="31" s="1"/>
  <c r="L25" i="25"/>
  <c r="L24" i="25"/>
  <c r="G24" i="31" s="1"/>
  <c r="L23" i="25"/>
  <c r="G23" i="31" s="1"/>
  <c r="L21" i="25"/>
  <c r="G21" i="31" s="1"/>
  <c r="L20" i="25"/>
  <c r="L19" i="25"/>
  <c r="G19" i="31" s="1"/>
  <c r="L17" i="25"/>
  <c r="L15" i="25"/>
  <c r="G15" i="31" s="1"/>
  <c r="L14" i="25"/>
  <c r="L13" i="25"/>
  <c r="G13" i="31" s="1"/>
  <c r="L12" i="25"/>
  <c r="G12" i="31" s="1"/>
  <c r="L10" i="25"/>
  <c r="G10" i="31" s="1"/>
  <c r="L9" i="25"/>
  <c r="G9" i="31" s="1"/>
  <c r="L8" i="25"/>
  <c r="G8" i="31" s="1"/>
  <c r="N20" i="33"/>
  <c r="N23" i="33"/>
  <c r="H21" i="32" s="1"/>
  <c r="N22" i="33"/>
  <c r="H20" i="32" s="1"/>
  <c r="N19" i="33"/>
  <c r="H17" i="32" s="1"/>
  <c r="N18" i="33"/>
  <c r="H16" i="32" s="1"/>
  <c r="N17" i="33"/>
  <c r="H15" i="32" s="1"/>
  <c r="N16" i="33"/>
  <c r="H14" i="32" s="1"/>
  <c r="N15" i="33"/>
  <c r="H13" i="32" s="1"/>
  <c r="N14" i="33"/>
  <c r="H12" i="32" s="1"/>
  <c r="N13" i="33"/>
  <c r="H11" i="32" s="1"/>
  <c r="N12" i="33"/>
  <c r="N36" i="33" s="1"/>
  <c r="H31" i="32" s="1"/>
  <c r="N11" i="33"/>
  <c r="H9" i="32" s="1"/>
  <c r="N10" i="33"/>
  <c r="N9" i="33"/>
  <c r="N8" i="33"/>
  <c r="H6" i="32" s="1"/>
  <c r="K39" i="25"/>
  <c r="K38" i="25"/>
  <c r="K37" i="25"/>
  <c r="F37" i="31" s="1"/>
  <c r="K36" i="25"/>
  <c r="F36" i="31" s="1"/>
  <c r="K35" i="25"/>
  <c r="F35" i="31" s="1"/>
  <c r="K34" i="25"/>
  <c r="F34" i="31" s="1"/>
  <c r="K33" i="25"/>
  <c r="F33" i="31" s="1"/>
  <c r="K32" i="25"/>
  <c r="F32" i="31" s="1"/>
  <c r="K31" i="25"/>
  <c r="F31" i="31" s="1"/>
  <c r="K29" i="25"/>
  <c r="K27" i="25"/>
  <c r="F27" i="31" s="1"/>
  <c r="K26" i="25"/>
  <c r="F26" i="31" s="1"/>
  <c r="K25" i="25"/>
  <c r="F25" i="31" s="1"/>
  <c r="K24" i="25"/>
  <c r="F24" i="31" s="1"/>
  <c r="K23" i="25"/>
  <c r="F23" i="31" s="1"/>
  <c r="K21" i="25"/>
  <c r="F21" i="31" s="1"/>
  <c r="K20" i="25"/>
  <c r="F20" i="31" s="1"/>
  <c r="K19" i="25"/>
  <c r="K17" i="25"/>
  <c r="K15" i="25"/>
  <c r="F15" i="31" s="1"/>
  <c r="K14" i="25"/>
  <c r="F14" i="31" s="1"/>
  <c r="K13" i="25"/>
  <c r="F13" i="31" s="1"/>
  <c r="K12" i="25"/>
  <c r="F12" i="31" s="1"/>
  <c r="K10" i="25"/>
  <c r="F10" i="31" s="1"/>
  <c r="K9" i="25"/>
  <c r="F9" i="31" s="1"/>
  <c r="K8" i="25"/>
  <c r="F8" i="31" s="1"/>
  <c r="K7" i="25"/>
  <c r="M19" i="33"/>
  <c r="G17" i="32" s="1"/>
  <c r="M8" i="33"/>
  <c r="G6" i="32" s="1"/>
  <c r="M23" i="33"/>
  <c r="G21" i="32" s="1"/>
  <c r="M22" i="33"/>
  <c r="G20" i="32" s="1"/>
  <c r="M20" i="33"/>
  <c r="M18" i="33"/>
  <c r="G16" i="32" s="1"/>
  <c r="M17" i="33"/>
  <c r="G15" i="32" s="1"/>
  <c r="M16" i="33"/>
  <c r="G14" i="32" s="1"/>
  <c r="M15" i="33"/>
  <c r="G13" i="32" s="1"/>
  <c r="M14" i="33"/>
  <c r="G12" i="32" s="1"/>
  <c r="M13" i="33"/>
  <c r="G11" i="32" s="1"/>
  <c r="M12" i="33"/>
  <c r="M36" i="33" s="1"/>
  <c r="G31" i="32" s="1"/>
  <c r="M11" i="33"/>
  <c r="G9" i="32" s="1"/>
  <c r="M10" i="33"/>
  <c r="M9" i="33"/>
  <c r="J39" i="25"/>
  <c r="J38" i="25"/>
  <c r="J37" i="25"/>
  <c r="E37" i="31" s="1"/>
  <c r="J36" i="25"/>
  <c r="E36" i="31" s="1"/>
  <c r="J35" i="25"/>
  <c r="E35" i="31" s="1"/>
  <c r="J34" i="25"/>
  <c r="E34" i="31" s="1"/>
  <c r="J33" i="25"/>
  <c r="E33" i="31" s="1"/>
  <c r="J32" i="25"/>
  <c r="E32" i="31" s="1"/>
  <c r="J31" i="25"/>
  <c r="E31" i="31" s="1"/>
  <c r="J29" i="25"/>
  <c r="J27" i="25"/>
  <c r="E27" i="31" s="1"/>
  <c r="J26" i="25"/>
  <c r="E26" i="31" s="1"/>
  <c r="J25" i="25"/>
  <c r="E25" i="31" s="1"/>
  <c r="J24" i="25"/>
  <c r="E24" i="31" s="1"/>
  <c r="J23" i="25"/>
  <c r="E23" i="31" s="1"/>
  <c r="J21" i="25"/>
  <c r="E21" i="31" s="1"/>
  <c r="J20" i="25"/>
  <c r="E20" i="31" s="1"/>
  <c r="J19" i="25"/>
  <c r="J17" i="25"/>
  <c r="J15" i="25"/>
  <c r="E15" i="31" s="1"/>
  <c r="J14" i="25"/>
  <c r="E14" i="31" s="1"/>
  <c r="J13" i="25"/>
  <c r="J12" i="25"/>
  <c r="E12" i="31" s="1"/>
  <c r="J10" i="25"/>
  <c r="J9" i="25"/>
  <c r="E9" i="31" s="1"/>
  <c r="J8" i="25"/>
  <c r="E8" i="31" s="1"/>
  <c r="J7" i="25"/>
  <c r="I39" i="25"/>
  <c r="I38" i="25"/>
  <c r="I37" i="25"/>
  <c r="D37" i="31" s="1"/>
  <c r="I36" i="25"/>
  <c r="D36" i="31" s="1"/>
  <c r="I35" i="25"/>
  <c r="D35" i="31" s="1"/>
  <c r="I34" i="25"/>
  <c r="D34" i="31" s="1"/>
  <c r="I33" i="25"/>
  <c r="D33" i="31" s="1"/>
  <c r="I32" i="25"/>
  <c r="D32" i="31" s="1"/>
  <c r="I31" i="25"/>
  <c r="D31" i="31" s="1"/>
  <c r="I29" i="25"/>
  <c r="I27" i="25"/>
  <c r="D27" i="31" s="1"/>
  <c r="I26" i="25"/>
  <c r="D26" i="31" s="1"/>
  <c r="I25" i="25"/>
  <c r="D25" i="31" s="1"/>
  <c r="I24" i="25"/>
  <c r="D24" i="31" s="1"/>
  <c r="I23" i="25"/>
  <c r="D23" i="31" s="1"/>
  <c r="I21" i="25"/>
  <c r="D21" i="31" s="1"/>
  <c r="I20" i="25"/>
  <c r="D20" i="31" s="1"/>
  <c r="I19" i="25"/>
  <c r="I17" i="25"/>
  <c r="I15" i="25"/>
  <c r="D15" i="31" s="1"/>
  <c r="I14" i="25"/>
  <c r="D14" i="31" s="1"/>
  <c r="I13" i="25"/>
  <c r="I12" i="25"/>
  <c r="D12" i="31" s="1"/>
  <c r="I10" i="25"/>
  <c r="D10" i="31" s="1"/>
  <c r="I9" i="25"/>
  <c r="D9" i="31" s="1"/>
  <c r="I8" i="25"/>
  <c r="I7" i="25"/>
  <c r="H39" i="25"/>
  <c r="H38" i="25"/>
  <c r="H37" i="25"/>
  <c r="C37" i="31" s="1"/>
  <c r="H36" i="25"/>
  <c r="C36" i="31" s="1"/>
  <c r="H35" i="25"/>
  <c r="C35" i="31" s="1"/>
  <c r="H34" i="25"/>
  <c r="C34" i="31" s="1"/>
  <c r="H33" i="25"/>
  <c r="C33" i="31" s="1"/>
  <c r="H32" i="25"/>
  <c r="C32" i="31" s="1"/>
  <c r="H31" i="25"/>
  <c r="C31" i="31" s="1"/>
  <c r="H29" i="25"/>
  <c r="H27" i="25"/>
  <c r="C27" i="31" s="1"/>
  <c r="H26" i="25"/>
  <c r="C26" i="31" s="1"/>
  <c r="H25" i="25"/>
  <c r="C24" i="31"/>
  <c r="H23" i="25"/>
  <c r="C23" i="31" s="1"/>
  <c r="H21" i="25"/>
  <c r="C21" i="31" s="1"/>
  <c r="H20" i="25"/>
  <c r="C20" i="31" s="1"/>
  <c r="H19" i="25"/>
  <c r="C19" i="31" s="1"/>
  <c r="H17" i="25"/>
  <c r="H15" i="25"/>
  <c r="C15" i="31" s="1"/>
  <c r="H14" i="25"/>
  <c r="H13" i="25"/>
  <c r="C13" i="31" s="1"/>
  <c r="H12" i="25"/>
  <c r="C12" i="31" s="1"/>
  <c r="H10" i="25"/>
  <c r="C10" i="31" s="1"/>
  <c r="H9" i="25"/>
  <c r="C9" i="31" s="1"/>
  <c r="H8" i="25"/>
  <c r="H7" i="25"/>
  <c r="G39" i="25"/>
  <c r="B39" i="31" s="1"/>
  <c r="G38" i="25"/>
  <c r="G37" i="25"/>
  <c r="B37" i="31" s="1"/>
  <c r="G36" i="25"/>
  <c r="B36" i="31" s="1"/>
  <c r="G35" i="25"/>
  <c r="B35" i="31" s="1"/>
  <c r="G34" i="25"/>
  <c r="B34" i="31" s="1"/>
  <c r="G33" i="25"/>
  <c r="B33" i="31" s="1"/>
  <c r="G32" i="25"/>
  <c r="B32" i="31" s="1"/>
  <c r="G31" i="25"/>
  <c r="B31" i="31" s="1"/>
  <c r="G29" i="25"/>
  <c r="G27" i="25"/>
  <c r="B27" i="31" s="1"/>
  <c r="G26" i="25"/>
  <c r="B26" i="31" s="1"/>
  <c r="G25" i="25"/>
  <c r="B25" i="31" s="1"/>
  <c r="B24" i="31"/>
  <c r="G23" i="25"/>
  <c r="B23" i="31" s="1"/>
  <c r="G21" i="25"/>
  <c r="B21" i="31" s="1"/>
  <c r="G20" i="25"/>
  <c r="B20" i="31" s="1"/>
  <c r="G19" i="25"/>
  <c r="B19" i="31" s="1"/>
  <c r="G17" i="25"/>
  <c r="G15" i="25"/>
  <c r="B15" i="31" s="1"/>
  <c r="G14" i="25"/>
  <c r="B14" i="31" s="1"/>
  <c r="G13" i="25"/>
  <c r="B13" i="31" s="1"/>
  <c r="G12" i="25"/>
  <c r="B12" i="31" s="1"/>
  <c r="G10" i="25"/>
  <c r="B10" i="31" s="1"/>
  <c r="G9" i="25"/>
  <c r="B9" i="31" s="1"/>
  <c r="G8" i="25"/>
  <c r="B8" i="31" s="1"/>
  <c r="G7" i="25"/>
  <c r="L24" i="33"/>
  <c r="L23" i="33"/>
  <c r="F21" i="32" s="1"/>
  <c r="L22" i="33"/>
  <c r="F20" i="32" s="1"/>
  <c r="L20" i="33"/>
  <c r="L19" i="33"/>
  <c r="F17" i="32" s="1"/>
  <c r="L18" i="33"/>
  <c r="F16" i="32" s="1"/>
  <c r="L17" i="33"/>
  <c r="F15" i="32" s="1"/>
  <c r="L16" i="33"/>
  <c r="F14" i="32" s="1"/>
  <c r="L15" i="33"/>
  <c r="F13" i="32" s="1"/>
  <c r="L14" i="33"/>
  <c r="F12" i="32" s="1"/>
  <c r="L13" i="33"/>
  <c r="F11" i="32" s="1"/>
  <c r="L12" i="33"/>
  <c r="L36" i="33" s="1"/>
  <c r="F31" i="32" s="1"/>
  <c r="L11" i="33"/>
  <c r="F9" i="32" s="1"/>
  <c r="L10" i="33"/>
  <c r="L9" i="33"/>
  <c r="L66" i="25" s="1"/>
  <c r="L8" i="33"/>
  <c r="F6" i="32" s="1"/>
  <c r="G24" i="33"/>
  <c r="G39" i="33" s="1"/>
  <c r="G23" i="33"/>
  <c r="G22" i="33"/>
  <c r="G20" i="33"/>
  <c r="G33" i="33" s="1"/>
  <c r="G19" i="33"/>
  <c r="G18" i="33"/>
  <c r="G17" i="33"/>
  <c r="G16" i="33"/>
  <c r="G15" i="33"/>
  <c r="G14" i="33"/>
  <c r="G13" i="33"/>
  <c r="G12" i="33"/>
  <c r="G11" i="33"/>
  <c r="G10" i="33"/>
  <c r="G9" i="33"/>
  <c r="G8" i="33"/>
  <c r="J24" i="33"/>
  <c r="D22" i="32" s="1"/>
  <c r="I24" i="33"/>
  <c r="C22" i="32" s="1"/>
  <c r="H24" i="33"/>
  <c r="B22" i="32" s="1"/>
  <c r="J23" i="33"/>
  <c r="D21" i="32" s="1"/>
  <c r="I23" i="33"/>
  <c r="C21" i="32" s="1"/>
  <c r="H23" i="33"/>
  <c r="J22" i="33"/>
  <c r="D20" i="32" s="1"/>
  <c r="I22" i="33"/>
  <c r="H22" i="33"/>
  <c r="B20" i="32" s="1"/>
  <c r="J20" i="33"/>
  <c r="I20" i="33"/>
  <c r="H20" i="33"/>
  <c r="J19" i="33"/>
  <c r="D17" i="32" s="1"/>
  <c r="I19" i="33"/>
  <c r="C17" i="32" s="1"/>
  <c r="H19" i="33"/>
  <c r="B17" i="32" s="1"/>
  <c r="J18" i="33"/>
  <c r="D16" i="32" s="1"/>
  <c r="I18" i="33"/>
  <c r="C16" i="32" s="1"/>
  <c r="H18" i="33"/>
  <c r="J17" i="33"/>
  <c r="D15" i="32" s="1"/>
  <c r="I17" i="33"/>
  <c r="C15" i="32" s="1"/>
  <c r="H17" i="33"/>
  <c r="J16" i="33"/>
  <c r="D14" i="32" s="1"/>
  <c r="I16" i="33"/>
  <c r="C14" i="32" s="1"/>
  <c r="H16" i="33"/>
  <c r="B14" i="32" s="1"/>
  <c r="J15" i="33"/>
  <c r="D13" i="32" s="1"/>
  <c r="I15" i="33"/>
  <c r="C13" i="32" s="1"/>
  <c r="H15" i="33"/>
  <c r="B13" i="32" s="1"/>
  <c r="J14" i="33"/>
  <c r="D12" i="32" s="1"/>
  <c r="I14" i="33"/>
  <c r="C12" i="32" s="1"/>
  <c r="H14" i="33"/>
  <c r="J13" i="33"/>
  <c r="D11" i="32" s="1"/>
  <c r="I13" i="33"/>
  <c r="C11" i="32" s="1"/>
  <c r="H13" i="33"/>
  <c r="J12" i="33"/>
  <c r="J36" i="33" s="1"/>
  <c r="D31" i="32" s="1"/>
  <c r="I12" i="33"/>
  <c r="I36" i="33" s="1"/>
  <c r="C31" i="32" s="1"/>
  <c r="H12" i="33"/>
  <c r="H36" i="33" s="1"/>
  <c r="B31" i="32" s="1"/>
  <c r="J11" i="33"/>
  <c r="D9" i="32" s="1"/>
  <c r="I11" i="33"/>
  <c r="C9" i="32" s="1"/>
  <c r="H11" i="33"/>
  <c r="B9" i="32" s="1"/>
  <c r="J10" i="33"/>
  <c r="I10" i="33"/>
  <c r="H10" i="33"/>
  <c r="J9" i="33"/>
  <c r="I9" i="33"/>
  <c r="H9" i="33"/>
  <c r="H66" i="25" s="1"/>
  <c r="J8" i="33"/>
  <c r="D6" i="32" s="1"/>
  <c r="I8" i="33"/>
  <c r="C6" i="32" s="1"/>
  <c r="H8" i="33"/>
  <c r="B6" i="32" s="1"/>
  <c r="E24" i="33"/>
  <c r="E23" i="33"/>
  <c r="E22" i="33"/>
  <c r="E20" i="33"/>
  <c r="E19" i="33"/>
  <c r="E18" i="33"/>
  <c r="E17" i="33"/>
  <c r="E16" i="33"/>
  <c r="E15" i="33"/>
  <c r="E14" i="33"/>
  <c r="E13" i="33"/>
  <c r="E12" i="33"/>
  <c r="E11" i="33"/>
  <c r="E10" i="33"/>
  <c r="E9" i="33"/>
  <c r="E66" i="25" s="1"/>
  <c r="E8" i="33"/>
  <c r="D24" i="33"/>
  <c r="D23" i="33"/>
  <c r="D22" i="33"/>
  <c r="D20" i="33"/>
  <c r="D19" i="33"/>
  <c r="D18" i="33"/>
  <c r="D17" i="33"/>
  <c r="D16" i="33"/>
  <c r="D15" i="33"/>
  <c r="D14" i="33"/>
  <c r="D13" i="33"/>
  <c r="D12" i="33"/>
  <c r="D11" i="33"/>
  <c r="D10" i="33"/>
  <c r="D9" i="33"/>
  <c r="D66" i="25" s="1"/>
  <c r="D8" i="33"/>
  <c r="C24" i="33"/>
  <c r="AG24" i="33" s="1"/>
  <c r="AQ24" i="33" s="1"/>
  <c r="C23" i="33"/>
  <c r="C22" i="33"/>
  <c r="C20" i="33"/>
  <c r="C19" i="33"/>
  <c r="AG19" i="33" s="1"/>
  <c r="AQ19" i="33" s="1"/>
  <c r="C18" i="33"/>
  <c r="F18" i="33" s="1"/>
  <c r="C17" i="33"/>
  <c r="C16" i="33"/>
  <c r="C15" i="33"/>
  <c r="AG15" i="33" s="1"/>
  <c r="AQ15" i="33" s="1"/>
  <c r="C14" i="33"/>
  <c r="C13" i="33"/>
  <c r="F13" i="33" s="1"/>
  <c r="C12" i="33"/>
  <c r="C11" i="33"/>
  <c r="AG11" i="33" s="1"/>
  <c r="C10" i="33"/>
  <c r="C9" i="33"/>
  <c r="C8" i="33"/>
  <c r="AG8" i="33" s="1"/>
  <c r="AQ11" i="33" l="1"/>
  <c r="U33" i="33"/>
  <c r="O28" i="32" s="1"/>
  <c r="I43" i="25"/>
  <c r="E44" i="25"/>
  <c r="O44" i="25"/>
  <c r="D43" i="25"/>
  <c r="K38" i="31"/>
  <c r="S59" i="33"/>
  <c r="C17" i="31"/>
  <c r="I58" i="33"/>
  <c r="D38" i="31"/>
  <c r="J59" i="33"/>
  <c r="F17" i="31"/>
  <c r="M58" i="33"/>
  <c r="K17" i="31"/>
  <c r="S58" i="33"/>
  <c r="L17" i="31"/>
  <c r="T58" i="33"/>
  <c r="J38" i="31"/>
  <c r="R59" i="33"/>
  <c r="W34" i="33" s="1"/>
  <c r="Q29" i="32" s="1"/>
  <c r="H17" i="31"/>
  <c r="O58" i="33"/>
  <c r="F38" i="31"/>
  <c r="M59" i="33"/>
  <c r="G17" i="31"/>
  <c r="N58" i="33"/>
  <c r="H38" i="31"/>
  <c r="O59" i="33"/>
  <c r="L38" i="31"/>
  <c r="T59" i="33"/>
  <c r="D17" i="31"/>
  <c r="J58" i="33"/>
  <c r="E38" i="31"/>
  <c r="K59" i="33"/>
  <c r="U34" i="33"/>
  <c r="O29" i="32" s="1"/>
  <c r="B17" i="31"/>
  <c r="H58" i="33"/>
  <c r="C38" i="31"/>
  <c r="I59" i="33"/>
  <c r="B38" i="31"/>
  <c r="H59" i="33"/>
  <c r="E17" i="31"/>
  <c r="K58" i="33"/>
  <c r="G38" i="31"/>
  <c r="N59" i="33"/>
  <c r="J17" i="31"/>
  <c r="R58" i="33"/>
  <c r="W33" i="33" s="1"/>
  <c r="Q28" i="32" s="1"/>
  <c r="F43" i="25"/>
  <c r="R32" i="33"/>
  <c r="L27" i="32" s="1"/>
  <c r="K7" i="32"/>
  <c r="Q66" i="25"/>
  <c r="N7" i="32"/>
  <c r="T66" i="25"/>
  <c r="H7" i="32"/>
  <c r="N66" i="25"/>
  <c r="M7" i="32"/>
  <c r="S66" i="25"/>
  <c r="I7" i="32"/>
  <c r="O66" i="25"/>
  <c r="C7" i="32"/>
  <c r="I66" i="25"/>
  <c r="G7" i="32"/>
  <c r="M66" i="25"/>
  <c r="F9" i="33"/>
  <c r="F66" i="25" s="1"/>
  <c r="G45" i="25" s="1"/>
  <c r="C66" i="25"/>
  <c r="D7" i="32"/>
  <c r="J66" i="25"/>
  <c r="G66" i="25"/>
  <c r="L7" i="32"/>
  <c r="R66" i="25"/>
  <c r="C36" i="33"/>
  <c r="D36" i="33"/>
  <c r="E36" i="33"/>
  <c r="G36" i="33"/>
  <c r="R36" i="33"/>
  <c r="L31" i="32" s="1"/>
  <c r="K30" i="32"/>
  <c r="Q36" i="33"/>
  <c r="K31" i="32" s="1"/>
  <c r="B30" i="32"/>
  <c r="F30" i="32"/>
  <c r="D30" i="32"/>
  <c r="H30" i="32"/>
  <c r="G30" i="32"/>
  <c r="I30" i="32"/>
  <c r="C30" i="32"/>
  <c r="M30" i="32"/>
  <c r="N30" i="32"/>
  <c r="AG23" i="33"/>
  <c r="AQ23" i="33" s="1"/>
  <c r="F7" i="32"/>
  <c r="J45" i="25"/>
  <c r="I17" i="31"/>
  <c r="V33" i="33"/>
  <c r="P28" i="32" s="1"/>
  <c r="I38" i="31"/>
  <c r="V34" i="33"/>
  <c r="P29" i="32" s="1"/>
  <c r="M55" i="25"/>
  <c r="D53" i="25"/>
  <c r="F53" i="25"/>
  <c r="F22" i="33"/>
  <c r="F16" i="33"/>
  <c r="AN21" i="33"/>
  <c r="AL21" i="33"/>
  <c r="Q31" i="33"/>
  <c r="K26" i="32" s="1"/>
  <c r="F22" i="32"/>
  <c r="L39" i="33"/>
  <c r="K22" i="32"/>
  <c r="Q39" i="33"/>
  <c r="R31" i="33"/>
  <c r="L26" i="32" s="1"/>
  <c r="L30" i="32"/>
  <c r="F17" i="33"/>
  <c r="F14" i="33"/>
  <c r="H30" i="33"/>
  <c r="B25" i="32" s="1"/>
  <c r="D30" i="33"/>
  <c r="E30" i="33"/>
  <c r="G30" i="33"/>
  <c r="C18" i="32"/>
  <c r="I32" i="33"/>
  <c r="C27" i="32" s="1"/>
  <c r="F8" i="32"/>
  <c r="L30" i="33"/>
  <c r="F25" i="32" s="1"/>
  <c r="H10" i="32"/>
  <c r="N31" i="33"/>
  <c r="H26" i="32" s="1"/>
  <c r="L8" i="32"/>
  <c r="R30" i="33"/>
  <c r="L25" i="32" s="1"/>
  <c r="M8" i="32"/>
  <c r="S30" i="33"/>
  <c r="M25" i="32" s="1"/>
  <c r="N8" i="32"/>
  <c r="T30" i="33"/>
  <c r="N25" i="32" s="1"/>
  <c r="I8" i="32"/>
  <c r="O30" i="33"/>
  <c r="I25" i="32" s="1"/>
  <c r="F10" i="33"/>
  <c r="C30" i="33"/>
  <c r="D10" i="32"/>
  <c r="J31" i="33"/>
  <c r="D26" i="32" s="1"/>
  <c r="J32" i="33"/>
  <c r="D27" i="32" s="1"/>
  <c r="G18" i="32"/>
  <c r="M32" i="33"/>
  <c r="G27" i="32" s="1"/>
  <c r="C8" i="32"/>
  <c r="I30" i="33"/>
  <c r="C25" i="32" s="1"/>
  <c r="M31" i="33"/>
  <c r="G26" i="32" s="1"/>
  <c r="I10" i="32"/>
  <c r="O31" i="33"/>
  <c r="I26" i="32" s="1"/>
  <c r="I18" i="32"/>
  <c r="O32" i="33"/>
  <c r="I27" i="32" s="1"/>
  <c r="K8" i="32"/>
  <c r="Q30" i="33"/>
  <c r="K25" i="32" s="1"/>
  <c r="M18" i="32"/>
  <c r="S32" i="33"/>
  <c r="M27" i="32" s="1"/>
  <c r="C10" i="32"/>
  <c r="I31" i="33"/>
  <c r="C26" i="32" s="1"/>
  <c r="G8" i="32"/>
  <c r="M30" i="33"/>
  <c r="G25" i="32" s="1"/>
  <c r="F12" i="33"/>
  <c r="C31" i="33"/>
  <c r="F20" i="33"/>
  <c r="C32" i="33"/>
  <c r="D31" i="33"/>
  <c r="D32" i="33"/>
  <c r="E31" i="33"/>
  <c r="E32" i="33"/>
  <c r="D8" i="32"/>
  <c r="J30" i="33"/>
  <c r="D25" i="32" s="1"/>
  <c r="H31" i="33"/>
  <c r="B26" i="32" s="1"/>
  <c r="B18" i="32"/>
  <c r="H32" i="33"/>
  <c r="B27" i="32" s="1"/>
  <c r="G31" i="33"/>
  <c r="G32" i="33"/>
  <c r="G34" i="33"/>
  <c r="F10" i="32"/>
  <c r="L31" i="33"/>
  <c r="F26" i="32" s="1"/>
  <c r="F18" i="32"/>
  <c r="L34" i="33"/>
  <c r="F29" i="32" s="1"/>
  <c r="L32" i="33"/>
  <c r="F27" i="32" s="1"/>
  <c r="L33" i="33"/>
  <c r="F28" i="32" s="1"/>
  <c r="H8" i="32"/>
  <c r="N30" i="33"/>
  <c r="H25" i="32" s="1"/>
  <c r="H18" i="32"/>
  <c r="N32" i="33"/>
  <c r="H27" i="32" s="1"/>
  <c r="K18" i="32"/>
  <c r="Q34" i="33"/>
  <c r="K29" i="32" s="1"/>
  <c r="Q33" i="33"/>
  <c r="K28" i="32" s="1"/>
  <c r="Q32" i="33"/>
  <c r="K27" i="32" s="1"/>
  <c r="M10" i="32"/>
  <c r="S31" i="33"/>
  <c r="M26" i="32" s="1"/>
  <c r="N10" i="32"/>
  <c r="T31" i="33"/>
  <c r="N26" i="32" s="1"/>
  <c r="N18" i="32"/>
  <c r="T32" i="33"/>
  <c r="N27" i="32" s="1"/>
  <c r="AO21" i="33"/>
  <c r="AH13" i="33"/>
  <c r="AR13" i="33" s="1"/>
  <c r="AH17" i="33"/>
  <c r="AR17" i="33" s="1"/>
  <c r="AQ8" i="33"/>
  <c r="D21" i="33"/>
  <c r="AJ11" i="33"/>
  <c r="AT11" i="33" s="1"/>
  <c r="P19" i="33"/>
  <c r="J17" i="32" s="1"/>
  <c r="AI15" i="33"/>
  <c r="AS15" i="33" s="1"/>
  <c r="L21" i="33"/>
  <c r="F19" i="32" s="1"/>
  <c r="AI19" i="33"/>
  <c r="AS19" i="33" s="1"/>
  <c r="AI10" i="33"/>
  <c r="AS10" i="33" s="1"/>
  <c r="AI12" i="33"/>
  <c r="AS12" i="33" s="1"/>
  <c r="G10" i="32"/>
  <c r="AJ12" i="33"/>
  <c r="AT12" i="33" s="1"/>
  <c r="L10" i="32"/>
  <c r="P10" i="33"/>
  <c r="P15" i="33"/>
  <c r="J13" i="32" s="1"/>
  <c r="P24" i="33"/>
  <c r="J22" i="32" s="1"/>
  <c r="T21" i="33"/>
  <c r="N19" i="32" s="1"/>
  <c r="N20" i="32"/>
  <c r="AG13" i="33"/>
  <c r="AQ13" i="33" s="1"/>
  <c r="AG17" i="33"/>
  <c r="AQ17" i="33" s="1"/>
  <c r="AH8" i="33"/>
  <c r="AR8" i="33" s="1"/>
  <c r="AI9" i="33"/>
  <c r="AS9" i="33" s="1"/>
  <c r="AJ10" i="33"/>
  <c r="AT10" i="33" s="1"/>
  <c r="AI14" i="33"/>
  <c r="AS14" i="33" s="1"/>
  <c r="AJ15" i="33"/>
  <c r="AT15" i="33" s="1"/>
  <c r="AI18" i="33"/>
  <c r="AS18" i="33" s="1"/>
  <c r="AJ19" i="33"/>
  <c r="AT19" i="33" s="1"/>
  <c r="AJ22" i="33"/>
  <c r="AT22" i="33" s="1"/>
  <c r="AH24" i="33"/>
  <c r="AR24" i="33" s="1"/>
  <c r="AM21" i="33"/>
  <c r="AH12" i="33"/>
  <c r="AR12" i="33" s="1"/>
  <c r="B10" i="32"/>
  <c r="E21" i="33"/>
  <c r="G21" i="33"/>
  <c r="F23" i="33"/>
  <c r="K10" i="33"/>
  <c r="B8" i="32"/>
  <c r="K14" i="33"/>
  <c r="E12" i="32" s="1"/>
  <c r="B12" i="32"/>
  <c r="K18" i="33"/>
  <c r="E16" i="32" s="1"/>
  <c r="B16" i="32"/>
  <c r="J21" i="33"/>
  <c r="D19" i="32" s="1"/>
  <c r="D18" i="32"/>
  <c r="K23" i="33"/>
  <c r="E21" i="32" s="1"/>
  <c r="B21" i="32"/>
  <c r="P12" i="33"/>
  <c r="P36" i="33" s="1"/>
  <c r="J31" i="32" s="1"/>
  <c r="K10" i="32"/>
  <c r="P11" i="33"/>
  <c r="J9" i="32" s="1"/>
  <c r="P16" i="33"/>
  <c r="J14" i="32" s="1"/>
  <c r="P20" i="33"/>
  <c r="AG9" i="33"/>
  <c r="AQ9" i="33" s="1"/>
  <c r="AG14" i="33"/>
  <c r="AQ14" i="33" s="1"/>
  <c r="AG18" i="33"/>
  <c r="AQ18" i="33" s="1"/>
  <c r="AG22" i="33"/>
  <c r="AQ22" i="33" s="1"/>
  <c r="AI8" i="33"/>
  <c r="AS8" i="33" s="1"/>
  <c r="AJ9" i="33"/>
  <c r="AT9" i="33" s="1"/>
  <c r="AH11" i="33"/>
  <c r="AR11" i="33" s="1"/>
  <c r="AI13" i="33"/>
  <c r="AS13" i="33" s="1"/>
  <c r="AJ14" i="33"/>
  <c r="AT14" i="33" s="1"/>
  <c r="AH16" i="33"/>
  <c r="AR16" i="33" s="1"/>
  <c r="AI17" i="33"/>
  <c r="AS17" i="33" s="1"/>
  <c r="AJ18" i="33"/>
  <c r="AT18" i="33" s="1"/>
  <c r="AH20" i="33"/>
  <c r="AR20" i="33" s="1"/>
  <c r="AH23" i="33"/>
  <c r="AR23" i="33" s="1"/>
  <c r="AI24" i="33"/>
  <c r="AS24" i="33" s="1"/>
  <c r="I21" i="33"/>
  <c r="C19" i="32" s="1"/>
  <c r="C20" i="32"/>
  <c r="P9" i="33"/>
  <c r="P14" i="33"/>
  <c r="J12" i="32" s="1"/>
  <c r="P18" i="33"/>
  <c r="J16" i="32" s="1"/>
  <c r="P23" i="33"/>
  <c r="J21" i="32" s="1"/>
  <c r="R21" i="33"/>
  <c r="L18" i="32"/>
  <c r="AG16" i="33"/>
  <c r="AQ16" i="33" s="1"/>
  <c r="AG20" i="33"/>
  <c r="AQ20" i="33" s="1"/>
  <c r="AH9" i="33"/>
  <c r="AR9" i="33" s="1"/>
  <c r="AH14" i="33"/>
  <c r="AR14" i="33" s="1"/>
  <c r="AJ16" i="33"/>
  <c r="AT16" i="33" s="1"/>
  <c r="AH18" i="33"/>
  <c r="AR18" i="33" s="1"/>
  <c r="AJ20" i="33"/>
  <c r="AT20" i="33" s="1"/>
  <c r="AI22" i="33"/>
  <c r="AS22" i="33" s="1"/>
  <c r="AJ23" i="33"/>
  <c r="AT23" i="33" s="1"/>
  <c r="F19" i="33"/>
  <c r="K9" i="33"/>
  <c r="B7" i="32"/>
  <c r="K13" i="33"/>
  <c r="E11" i="32" s="1"/>
  <c r="B11" i="32"/>
  <c r="K17" i="33"/>
  <c r="E15" i="32" s="1"/>
  <c r="B15" i="32"/>
  <c r="P8" i="33"/>
  <c r="J6" i="32" s="1"/>
  <c r="P13" i="33"/>
  <c r="J11" i="32" s="1"/>
  <c r="P17" i="33"/>
  <c r="J15" i="32" s="1"/>
  <c r="P22" i="33"/>
  <c r="J20" i="32" s="1"/>
  <c r="AG10" i="33"/>
  <c r="AQ10" i="33" s="1"/>
  <c r="AJ8" i="33"/>
  <c r="AT8" i="33" s="1"/>
  <c r="AH10" i="33"/>
  <c r="AR10" i="33" s="1"/>
  <c r="AI11" i="33"/>
  <c r="AS11" i="33" s="1"/>
  <c r="AJ13" i="33"/>
  <c r="AT13" i="33" s="1"/>
  <c r="AH15" i="33"/>
  <c r="AR15" i="33" s="1"/>
  <c r="AI16" i="33"/>
  <c r="AS16" i="33" s="1"/>
  <c r="AJ17" i="33"/>
  <c r="AT17" i="33" s="1"/>
  <c r="AH19" i="33"/>
  <c r="AR19" i="33" s="1"/>
  <c r="AI20" i="33"/>
  <c r="AS20" i="33" s="1"/>
  <c r="AH22" i="33"/>
  <c r="AR22" i="33" s="1"/>
  <c r="AI23" i="33"/>
  <c r="AS23" i="33" s="1"/>
  <c r="AJ24" i="33"/>
  <c r="AT24" i="33" s="1"/>
  <c r="E10" i="31"/>
  <c r="N45" i="25"/>
  <c r="I45" i="31" s="1"/>
  <c r="I10" i="31"/>
  <c r="J42" i="25"/>
  <c r="E43" i="31" s="1"/>
  <c r="N42" i="25"/>
  <c r="I43" i="31" s="1"/>
  <c r="C43" i="25"/>
  <c r="F61" i="25"/>
  <c r="F45" i="25" s="1"/>
  <c r="D29" i="31"/>
  <c r="D44" i="31"/>
  <c r="H29" i="31"/>
  <c r="M43" i="25"/>
  <c r="H44" i="31" s="1"/>
  <c r="C29" i="31"/>
  <c r="H43" i="25"/>
  <c r="C44" i="31" s="1"/>
  <c r="F29" i="31"/>
  <c r="K43" i="25"/>
  <c r="F44" i="31" s="1"/>
  <c r="G29" i="31"/>
  <c r="L43" i="25"/>
  <c r="G44" i="31" s="1"/>
  <c r="J29" i="31"/>
  <c r="O43" i="25"/>
  <c r="J44" i="31" s="1"/>
  <c r="D42" i="25"/>
  <c r="B29" i="31"/>
  <c r="G43" i="25"/>
  <c r="B44" i="31" s="1"/>
  <c r="E29" i="31"/>
  <c r="J43" i="25"/>
  <c r="E44" i="31" s="1"/>
  <c r="I29" i="31"/>
  <c r="I44" i="31"/>
  <c r="K29" i="31"/>
  <c r="P43" i="25"/>
  <c r="K44" i="31" s="1"/>
  <c r="L29" i="31"/>
  <c r="Q43" i="25"/>
  <c r="L44" i="31" s="1"/>
  <c r="E42" i="25"/>
  <c r="J7" i="31"/>
  <c r="O42" i="25"/>
  <c r="J43" i="31" s="1"/>
  <c r="F42" i="25"/>
  <c r="K7" i="31"/>
  <c r="P42" i="25"/>
  <c r="K43" i="31" s="1"/>
  <c r="G7" i="31"/>
  <c r="L42" i="25"/>
  <c r="G43" i="31" s="1"/>
  <c r="L7" i="31"/>
  <c r="Q42" i="25"/>
  <c r="L43" i="31" s="1"/>
  <c r="C7" i="31"/>
  <c r="H42" i="25"/>
  <c r="C43" i="31" s="1"/>
  <c r="F7" i="31"/>
  <c r="K42" i="25"/>
  <c r="F43" i="31" s="1"/>
  <c r="B7" i="31"/>
  <c r="G42" i="25"/>
  <c r="B43" i="31" s="1"/>
  <c r="D7" i="31"/>
  <c r="I42" i="25"/>
  <c r="D43" i="31" s="1"/>
  <c r="H7" i="31"/>
  <c r="M42" i="25"/>
  <c r="H43" i="31" s="1"/>
  <c r="I39" i="31"/>
  <c r="N53" i="25"/>
  <c r="L39" i="31"/>
  <c r="Q53" i="25"/>
  <c r="D39" i="31"/>
  <c r="I53" i="25"/>
  <c r="H39" i="31"/>
  <c r="M53" i="25"/>
  <c r="C39" i="31"/>
  <c r="H53" i="25"/>
  <c r="F39" i="31"/>
  <c r="K53" i="25"/>
  <c r="C53" i="25"/>
  <c r="K39" i="31"/>
  <c r="P53" i="25"/>
  <c r="E39" i="31"/>
  <c r="J53" i="25"/>
  <c r="G39" i="31"/>
  <c r="L53" i="25"/>
  <c r="J39" i="31"/>
  <c r="O53" i="25"/>
  <c r="D28" i="25"/>
  <c r="E53" i="25"/>
  <c r="I55" i="25"/>
  <c r="E55" i="25"/>
  <c r="E41" i="25" s="1"/>
  <c r="E56" i="25" s="1"/>
  <c r="P28" i="25"/>
  <c r="K28" i="31" s="1"/>
  <c r="C11" i="25"/>
  <c r="C28" i="25"/>
  <c r="F44" i="25"/>
  <c r="F28" i="25"/>
  <c r="Q44" i="25"/>
  <c r="G22" i="25"/>
  <c r="B22" i="31" s="1"/>
  <c r="E28" i="25"/>
  <c r="C16" i="25"/>
  <c r="H22" i="25"/>
  <c r="C22" i="31" s="1"/>
  <c r="I28" i="25"/>
  <c r="D28" i="31" s="1"/>
  <c r="D11" i="25"/>
  <c r="P16" i="25"/>
  <c r="K16" i="31" s="1"/>
  <c r="K13" i="31"/>
  <c r="F55" i="25"/>
  <c r="F41" i="25" s="1"/>
  <c r="F56" i="25" s="1"/>
  <c r="J55" i="25"/>
  <c r="N55" i="25"/>
  <c r="Q28" i="25"/>
  <c r="L28" i="31" s="1"/>
  <c r="Q55" i="25"/>
  <c r="L21" i="31"/>
  <c r="M16" i="25"/>
  <c r="H16" i="31" s="1"/>
  <c r="H13" i="31"/>
  <c r="J21" i="31"/>
  <c r="J28" i="25"/>
  <c r="E28" i="31" s="1"/>
  <c r="K22" i="25"/>
  <c r="F22" i="31" s="1"/>
  <c r="F19" i="31"/>
  <c r="G28" i="25"/>
  <c r="B28" i="31" s="1"/>
  <c r="M11" i="25"/>
  <c r="H11" i="31" s="1"/>
  <c r="H10" i="31"/>
  <c r="M22" i="25"/>
  <c r="H22" i="31" s="1"/>
  <c r="H21" i="31"/>
  <c r="N28" i="25"/>
  <c r="I28" i="31" s="1"/>
  <c r="C44" i="25"/>
  <c r="C55" i="25"/>
  <c r="C41" i="25" s="1"/>
  <c r="C56" i="25" s="1"/>
  <c r="D16" i="25"/>
  <c r="E11" i="25"/>
  <c r="K21" i="31"/>
  <c r="G55" i="25"/>
  <c r="K55" i="25"/>
  <c r="O55" i="25"/>
  <c r="Q16" i="25"/>
  <c r="L16" i="31" s="1"/>
  <c r="L12" i="31"/>
  <c r="H16" i="25"/>
  <c r="C16" i="31" s="1"/>
  <c r="C14" i="31"/>
  <c r="H28" i="25"/>
  <c r="C28" i="31" s="1"/>
  <c r="C25" i="31"/>
  <c r="M28" i="25"/>
  <c r="H28" i="31" s="1"/>
  <c r="H24" i="31"/>
  <c r="N22" i="25"/>
  <c r="I22" i="31" s="1"/>
  <c r="I19" i="31"/>
  <c r="G11" i="25"/>
  <c r="B11" i="31" s="1"/>
  <c r="J11" i="25"/>
  <c r="E11" i="31" s="1"/>
  <c r="E7" i="31"/>
  <c r="G16" i="25"/>
  <c r="B16" i="31" s="1"/>
  <c r="H11" i="25"/>
  <c r="C11" i="31" s="1"/>
  <c r="C8" i="31"/>
  <c r="I11" i="25"/>
  <c r="D11" i="31" s="1"/>
  <c r="D8" i="31"/>
  <c r="I16" i="25"/>
  <c r="D16" i="31" s="1"/>
  <c r="D13" i="31"/>
  <c r="I22" i="25"/>
  <c r="D22" i="31" s="1"/>
  <c r="D19" i="31"/>
  <c r="J16" i="25"/>
  <c r="E16" i="31" s="1"/>
  <c r="E13" i="31"/>
  <c r="J22" i="25"/>
  <c r="E22" i="31" s="1"/>
  <c r="E19" i="31"/>
  <c r="L16" i="25"/>
  <c r="G16" i="31" s="1"/>
  <c r="G14" i="31"/>
  <c r="L22" i="25"/>
  <c r="G22" i="31" s="1"/>
  <c r="G20" i="31"/>
  <c r="L28" i="25"/>
  <c r="G28" i="31" s="1"/>
  <c r="G25" i="31"/>
  <c r="N11" i="25"/>
  <c r="I11" i="31" s="1"/>
  <c r="I7" i="31"/>
  <c r="N16" i="25"/>
  <c r="I16" i="31" s="1"/>
  <c r="I12" i="31"/>
  <c r="O11" i="25"/>
  <c r="J11" i="31" s="1"/>
  <c r="J8" i="31"/>
  <c r="O16" i="25"/>
  <c r="J16" i="31" s="1"/>
  <c r="J13" i="31"/>
  <c r="E16" i="25"/>
  <c r="F11" i="25"/>
  <c r="F22" i="25"/>
  <c r="P44" i="25"/>
  <c r="D55" i="25"/>
  <c r="D41" i="25" s="1"/>
  <c r="D56" i="25" s="1"/>
  <c r="H55" i="25"/>
  <c r="L55" i="25"/>
  <c r="AG12" i="33"/>
  <c r="AQ12" i="33" s="1"/>
  <c r="S21" i="33"/>
  <c r="M19" i="32" s="1"/>
  <c r="Q22" i="25"/>
  <c r="L22" i="31" s="1"/>
  <c r="Q11" i="25"/>
  <c r="L11" i="31" s="1"/>
  <c r="P11" i="25"/>
  <c r="K11" i="31" s="1"/>
  <c r="P22" i="25"/>
  <c r="K22" i="31" s="1"/>
  <c r="F16" i="25"/>
  <c r="E22" i="25"/>
  <c r="D22" i="25"/>
  <c r="C22" i="25"/>
  <c r="O28" i="25"/>
  <c r="J28" i="31" s="1"/>
  <c r="O22" i="25"/>
  <c r="J22" i="31" s="1"/>
  <c r="Q21" i="33"/>
  <c r="K19" i="32" s="1"/>
  <c r="O21" i="33"/>
  <c r="I19" i="32" s="1"/>
  <c r="L11" i="25"/>
  <c r="G11" i="31" s="1"/>
  <c r="K28" i="25"/>
  <c r="F28" i="31" s="1"/>
  <c r="M21" i="33"/>
  <c r="G19" i="32" s="1"/>
  <c r="K11" i="25"/>
  <c r="F11" i="31" s="1"/>
  <c r="K16" i="25"/>
  <c r="F16" i="31" s="1"/>
  <c r="N21" i="33"/>
  <c r="H19" i="32" s="1"/>
  <c r="K22" i="33"/>
  <c r="E20" i="32" s="1"/>
  <c r="K8" i="33"/>
  <c r="E6" i="32" s="1"/>
  <c r="K12" i="33"/>
  <c r="K36" i="33" s="1"/>
  <c r="E31" i="32" s="1"/>
  <c r="K16" i="33"/>
  <c r="E14" i="32" s="1"/>
  <c r="F11" i="33"/>
  <c r="F15" i="33"/>
  <c r="F8" i="33"/>
  <c r="K11" i="33"/>
  <c r="E9" i="32" s="1"/>
  <c r="K15" i="33"/>
  <c r="E13" i="32" s="1"/>
  <c r="K19" i="33"/>
  <c r="E17" i="32" s="1"/>
  <c r="K24" i="33"/>
  <c r="E22" i="32" s="1"/>
  <c r="H21" i="33"/>
  <c r="F24" i="33"/>
  <c r="C21" i="33"/>
  <c r="K20" i="33"/>
  <c r="A15" i="31"/>
  <c r="A8" i="31"/>
  <c r="A9" i="31"/>
  <c r="A10" i="31"/>
  <c r="A11" i="31"/>
  <c r="A12" i="31"/>
  <c r="A13" i="31"/>
  <c r="A14" i="31"/>
  <c r="A16" i="31"/>
  <c r="A17" i="31"/>
  <c r="A18" i="31"/>
  <c r="A19" i="31"/>
  <c r="A20" i="31"/>
  <c r="A21" i="31"/>
  <c r="A22" i="31"/>
  <c r="A23" i="31"/>
  <c r="A24" i="31"/>
  <c r="A25" i="31"/>
  <c r="A26" i="31"/>
  <c r="A27" i="31"/>
  <c r="A28" i="31"/>
  <c r="A29" i="31"/>
  <c r="A30" i="31"/>
  <c r="A31" i="31"/>
  <c r="A32" i="31"/>
  <c r="A33" i="31"/>
  <c r="A34" i="31"/>
  <c r="A35" i="31"/>
  <c r="A36" i="31"/>
  <c r="A37" i="31"/>
  <c r="A38" i="31"/>
  <c r="N5" i="31"/>
  <c r="J5" i="31"/>
  <c r="K5" i="31"/>
  <c r="L5" i="31"/>
  <c r="M5" i="31"/>
  <c r="S45" i="25" l="1"/>
  <c r="O33" i="33"/>
  <c r="I28" i="32" s="1"/>
  <c r="R34" i="33"/>
  <c r="L29" i="32" s="1"/>
  <c r="J34" i="33"/>
  <c r="D29" i="32" s="1"/>
  <c r="P33" i="33"/>
  <c r="J28" i="32" s="1"/>
  <c r="K34" i="33"/>
  <c r="E29" i="32" s="1"/>
  <c r="T33" i="33"/>
  <c r="N28" i="32" s="1"/>
  <c r="I33" i="33"/>
  <c r="C28" i="32" s="1"/>
  <c r="S34" i="33"/>
  <c r="M29" i="32" s="1"/>
  <c r="M34" i="33"/>
  <c r="G29" i="32" s="1"/>
  <c r="M33" i="33"/>
  <c r="G28" i="32" s="1"/>
  <c r="S33" i="33"/>
  <c r="M28" i="32" s="1"/>
  <c r="P34" i="33"/>
  <c r="J29" i="32" s="1"/>
  <c r="H34" i="33"/>
  <c r="B29" i="32" s="1"/>
  <c r="H33" i="33"/>
  <c r="B28" i="32" s="1"/>
  <c r="N34" i="33"/>
  <c r="H29" i="32" s="1"/>
  <c r="B45" i="31"/>
  <c r="G57" i="25"/>
  <c r="I45" i="25"/>
  <c r="D45" i="31" s="1"/>
  <c r="J33" i="33"/>
  <c r="D28" i="32" s="1"/>
  <c r="T34" i="33"/>
  <c r="N29" i="32" s="1"/>
  <c r="O34" i="33"/>
  <c r="I29" i="32" s="1"/>
  <c r="H45" i="25"/>
  <c r="C45" i="31" s="1"/>
  <c r="K33" i="33"/>
  <c r="E28" i="32" s="1"/>
  <c r="I34" i="33"/>
  <c r="C29" i="32" s="1"/>
  <c r="R33" i="33"/>
  <c r="L28" i="32" s="1"/>
  <c r="N33" i="33"/>
  <c r="H28" i="32" s="1"/>
  <c r="F57" i="25"/>
  <c r="J7" i="32"/>
  <c r="P66" i="25"/>
  <c r="O45" i="25" s="1"/>
  <c r="J45" i="31" s="1"/>
  <c r="H57" i="25"/>
  <c r="E7" i="32"/>
  <c r="K66" i="25"/>
  <c r="K45" i="25" s="1"/>
  <c r="I57" i="25"/>
  <c r="F36" i="33"/>
  <c r="E30" i="32"/>
  <c r="J30" i="32"/>
  <c r="P41" i="25"/>
  <c r="K42" i="31" s="1"/>
  <c r="O41" i="25"/>
  <c r="J42" i="31" s="1"/>
  <c r="Q41" i="25"/>
  <c r="F32" i="33"/>
  <c r="F30" i="33"/>
  <c r="U21" i="33"/>
  <c r="O19" i="32" s="1"/>
  <c r="E8" i="32"/>
  <c r="K30" i="33"/>
  <c r="E25" i="32" s="1"/>
  <c r="E18" i="32"/>
  <c r="K32" i="33"/>
  <c r="E27" i="32" s="1"/>
  <c r="E10" i="32"/>
  <c r="K31" i="33"/>
  <c r="E26" i="32" s="1"/>
  <c r="J18" i="32"/>
  <c r="P32" i="33"/>
  <c r="J27" i="32" s="1"/>
  <c r="J10" i="32"/>
  <c r="P31" i="33"/>
  <c r="J26" i="32" s="1"/>
  <c r="J8" i="32"/>
  <c r="P30" i="33"/>
  <c r="J25" i="32" s="1"/>
  <c r="F31" i="33"/>
  <c r="R57" i="25"/>
  <c r="M45" i="31"/>
  <c r="N57" i="25"/>
  <c r="J57" i="25"/>
  <c r="E45" i="31"/>
  <c r="K21" i="33"/>
  <c r="E19" i="32" s="1"/>
  <c r="B19" i="32"/>
  <c r="AH21" i="33"/>
  <c r="AR21" i="33" s="1"/>
  <c r="L19" i="32"/>
  <c r="AJ21" i="33"/>
  <c r="AT21" i="33" s="1"/>
  <c r="F21" i="33"/>
  <c r="AG21" i="33"/>
  <c r="AQ21" i="33" s="1"/>
  <c r="AI21" i="33"/>
  <c r="AS21" i="33" s="1"/>
  <c r="P21" i="33"/>
  <c r="J19" i="32" s="1"/>
  <c r="S57" i="25" l="1"/>
  <c r="N45" i="31"/>
  <c r="Q45" i="25"/>
  <c r="O57" i="25"/>
  <c r="O56" i="25"/>
  <c r="F45" i="31"/>
  <c r="K57" i="25"/>
  <c r="M45" i="25"/>
  <c r="L45" i="25"/>
  <c r="P45" i="25"/>
  <c r="P56" i="25"/>
  <c r="Q56" i="25"/>
  <c r="L42" i="31"/>
  <c r="M44" i="25"/>
  <c r="M41" i="25"/>
  <c r="Q57" i="25" l="1"/>
  <c r="L45" i="31"/>
  <c r="M57" i="25"/>
  <c r="H45" i="31"/>
  <c r="K45" i="31"/>
  <c r="P57" i="25"/>
  <c r="L57" i="25"/>
  <c r="G45" i="31"/>
  <c r="M56" i="25"/>
  <c r="H42" i="31"/>
  <c r="L44" i="25"/>
  <c r="L41" i="25"/>
  <c r="L56" i="25" l="1"/>
  <c r="G42" i="31"/>
  <c r="K44" i="25"/>
  <c r="K41" i="25"/>
  <c r="K56" i="25" l="1"/>
  <c r="F42" i="31"/>
  <c r="N41" i="25"/>
  <c r="I42" i="31" s="1"/>
  <c r="N44" i="25"/>
  <c r="G5" i="31"/>
  <c r="H5" i="31"/>
  <c r="I5" i="31"/>
  <c r="N56" i="25" l="1"/>
  <c r="F5" i="31" l="1"/>
  <c r="J44" i="25" l="1"/>
  <c r="J41" i="25"/>
  <c r="J56" i="25" l="1"/>
  <c r="E42" i="31"/>
  <c r="E5" i="31"/>
  <c r="I41" i="25" l="1"/>
  <c r="I44" i="25"/>
  <c r="I56" i="25" l="1"/>
  <c r="D42" i="31"/>
  <c r="D5" i="31"/>
  <c r="H44" i="25" l="1"/>
  <c r="C5" i="31"/>
  <c r="H41" i="25" l="1"/>
  <c r="H56" i="25" l="1"/>
  <c r="C42" i="31"/>
  <c r="A5" i="31"/>
  <c r="A49" i="31"/>
  <c r="A6" i="31"/>
  <c r="G44" i="25" l="1"/>
  <c r="G53" i="25" l="1"/>
  <c r="G41" i="25"/>
  <c r="B42" i="31" s="1"/>
  <c r="G56" i="25" l="1"/>
  <c r="R55" i="54" l="1"/>
  <c r="R43" i="54"/>
  <c r="Q45" i="54"/>
  <c r="R45" i="54" s="1"/>
  <c r="R47" i="54"/>
  <c r="Q46" i="54" l="1"/>
  <c r="R46" i="54" s="1"/>
  <c r="Q48" i="54"/>
  <c r="R41" i="54"/>
</calcChain>
</file>

<file path=xl/sharedStrings.xml><?xml version="1.0" encoding="utf-8"?>
<sst xmlns="http://schemas.openxmlformats.org/spreadsheetml/2006/main" count="2674" uniqueCount="820">
  <si>
    <t>Revenue</t>
    <phoneticPr fontId="3" type="noConversion"/>
  </si>
  <si>
    <t>(KRW bn)</t>
    <phoneticPr fontId="3" type="noConversion"/>
  </si>
  <si>
    <t>(Consolidated basis)</t>
    <phoneticPr fontId="3" type="noConversion"/>
  </si>
  <si>
    <t>(unaudited)</t>
    <phoneticPr fontId="3" type="noConversion"/>
  </si>
  <si>
    <t>(KRW bn)</t>
  </si>
  <si>
    <t>Assets</t>
  </si>
  <si>
    <t>Total assets</t>
  </si>
  <si>
    <t>Liabilities</t>
  </si>
  <si>
    <t>Total liabilities</t>
  </si>
  <si>
    <t>Consolidated Balance Sheets</t>
  </si>
  <si>
    <t>Other current assets</t>
    <phoneticPr fontId="3" type="noConversion"/>
  </si>
  <si>
    <t>Cash &amp; cash equivalents</t>
    <phoneticPr fontId="3" type="noConversion"/>
  </si>
  <si>
    <t>Non-current assets</t>
    <phoneticPr fontId="3" type="noConversion"/>
  </si>
  <si>
    <t>Current assets</t>
    <phoneticPr fontId="3" type="noConversion"/>
  </si>
  <si>
    <t>Trade and other receivables</t>
    <phoneticPr fontId="3" type="noConversion"/>
  </si>
  <si>
    <t>Intangible assets</t>
    <phoneticPr fontId="3" type="noConversion"/>
  </si>
  <si>
    <t>Other non-current assets</t>
    <phoneticPr fontId="3" type="noConversion"/>
  </si>
  <si>
    <t>Trade and other payables</t>
    <phoneticPr fontId="3" type="noConversion"/>
  </si>
  <si>
    <t>Other current liabilities</t>
    <phoneticPr fontId="3" type="noConversion"/>
  </si>
  <si>
    <t>Other non-current liabilities</t>
    <phoneticPr fontId="3" type="noConversion"/>
  </si>
  <si>
    <t>Retained earnings</t>
    <phoneticPr fontId="3" type="noConversion"/>
  </si>
  <si>
    <t>Total Debt</t>
    <phoneticPr fontId="3" type="noConversion"/>
  </si>
  <si>
    <t>Current ratio (%)</t>
    <phoneticPr fontId="3" type="noConversion"/>
  </si>
  <si>
    <t>Q2 18</t>
    <phoneticPr fontId="3" type="noConversion"/>
  </si>
  <si>
    <t>Q2 19</t>
    <phoneticPr fontId="3" type="noConversion"/>
  </si>
  <si>
    <t>Q3 19</t>
    <phoneticPr fontId="3" type="noConversion"/>
  </si>
  <si>
    <t>Q1 20</t>
    <phoneticPr fontId="3" type="noConversion"/>
  </si>
  <si>
    <t>Q2 20</t>
    <phoneticPr fontId="3" type="noConversion"/>
  </si>
  <si>
    <t>Q3 20</t>
    <phoneticPr fontId="3" type="noConversion"/>
  </si>
  <si>
    <t>Q4 20</t>
    <phoneticPr fontId="3" type="noConversion"/>
  </si>
  <si>
    <t>한국어</t>
    <phoneticPr fontId="3" type="noConversion"/>
  </si>
  <si>
    <t>English</t>
    <phoneticPr fontId="3" type="noConversion"/>
  </si>
  <si>
    <t>단위/Unit</t>
    <phoneticPr fontId="3" type="noConversion"/>
  </si>
  <si>
    <t>억원</t>
    <phoneticPr fontId="3" type="noConversion"/>
  </si>
  <si>
    <t>bn KRW</t>
    <phoneticPr fontId="3" type="noConversion"/>
  </si>
  <si>
    <t>언어/Language</t>
    <phoneticPr fontId="3" type="noConversion"/>
  </si>
  <si>
    <t>자산</t>
    <phoneticPr fontId="3" type="noConversion"/>
  </si>
  <si>
    <t>자산총계</t>
    <phoneticPr fontId="3" type="noConversion"/>
  </si>
  <si>
    <t>부채</t>
    <phoneticPr fontId="3" type="noConversion"/>
  </si>
  <si>
    <t>부채총계</t>
    <phoneticPr fontId="3" type="noConversion"/>
  </si>
  <si>
    <t>자본</t>
    <phoneticPr fontId="3" type="noConversion"/>
  </si>
  <si>
    <t>자본총계</t>
    <phoneticPr fontId="3" type="noConversion"/>
  </si>
  <si>
    <t>부채와자본총계</t>
    <phoneticPr fontId="3" type="noConversion"/>
  </si>
  <si>
    <t>현금및현금성자산</t>
    <phoneticPr fontId="3" type="noConversion"/>
  </si>
  <si>
    <t>매출채권및기타유동채권</t>
    <phoneticPr fontId="3" type="noConversion"/>
  </si>
  <si>
    <t>기타유동자산</t>
    <phoneticPr fontId="3" type="noConversion"/>
  </si>
  <si>
    <t>비유동자산</t>
    <phoneticPr fontId="3" type="noConversion"/>
  </si>
  <si>
    <t>유형자산</t>
    <phoneticPr fontId="3" type="noConversion"/>
  </si>
  <si>
    <t>무형자산</t>
    <phoneticPr fontId="3" type="noConversion"/>
  </si>
  <si>
    <t>기타비유동자산</t>
    <phoneticPr fontId="3" type="noConversion"/>
  </si>
  <si>
    <t>유동부채</t>
    <phoneticPr fontId="3" type="noConversion"/>
  </si>
  <si>
    <t>매입채무및기타유동채무</t>
    <phoneticPr fontId="3" type="noConversion"/>
  </si>
  <si>
    <t>기타유동부채</t>
    <phoneticPr fontId="3" type="noConversion"/>
  </si>
  <si>
    <t>비유동부채</t>
    <phoneticPr fontId="3" type="noConversion"/>
  </si>
  <si>
    <t>기타비유동부채</t>
    <phoneticPr fontId="3" type="noConversion"/>
  </si>
  <si>
    <t>이익잉여금</t>
    <phoneticPr fontId="3" type="noConversion"/>
  </si>
  <si>
    <t>비지배지분</t>
    <phoneticPr fontId="3" type="noConversion"/>
  </si>
  <si>
    <t>유동자산</t>
    <phoneticPr fontId="3" type="noConversion"/>
  </si>
  <si>
    <t>순부채</t>
    <phoneticPr fontId="3" type="noConversion"/>
  </si>
  <si>
    <t>Net Debt</t>
    <phoneticPr fontId="3" type="noConversion"/>
  </si>
  <si>
    <t>차입금</t>
    <phoneticPr fontId="3" type="noConversion"/>
  </si>
  <si>
    <t>(unaudited)</t>
    <phoneticPr fontId="3" type="noConversion"/>
  </si>
  <si>
    <t>Q1 19</t>
    <phoneticPr fontId="3" type="noConversion"/>
  </si>
  <si>
    <t>Q2 19</t>
    <phoneticPr fontId="3" type="noConversion"/>
  </si>
  <si>
    <t>Q3 19</t>
    <phoneticPr fontId="3" type="noConversion"/>
  </si>
  <si>
    <t>Q4 19</t>
    <phoneticPr fontId="3" type="noConversion"/>
  </si>
  <si>
    <t>Q1 19</t>
    <phoneticPr fontId="3" type="noConversion"/>
  </si>
  <si>
    <t>(Consolidated basis)</t>
    <phoneticPr fontId="3" type="noConversion"/>
  </si>
  <si>
    <t>(unaudited)</t>
    <phoneticPr fontId="3" type="noConversion"/>
  </si>
  <si>
    <t>Consolidated Statements of Profit &amp; Loss</t>
    <phoneticPr fontId="3" type="noConversion"/>
  </si>
  <si>
    <t>Q1 18</t>
    <phoneticPr fontId="3" type="noConversion"/>
  </si>
  <si>
    <t>Q3 18</t>
    <phoneticPr fontId="3" type="noConversion"/>
  </si>
  <si>
    <t>매출원가</t>
    <phoneticPr fontId="3" type="noConversion"/>
  </si>
  <si>
    <t>매출총이익</t>
    <phoneticPr fontId="3" type="noConversion"/>
  </si>
  <si>
    <t>기타수익</t>
    <phoneticPr fontId="3" type="noConversion"/>
  </si>
  <si>
    <t>기타비용</t>
    <phoneticPr fontId="3" type="noConversion"/>
  </si>
  <si>
    <t>금융수익</t>
    <phoneticPr fontId="3" type="noConversion"/>
  </si>
  <si>
    <t>금융비용</t>
    <phoneticPr fontId="3" type="noConversion"/>
  </si>
  <si>
    <t>기타포괄손익</t>
    <phoneticPr fontId="3" type="noConversion"/>
  </si>
  <si>
    <t>Q1 20</t>
  </si>
  <si>
    <t>Q2 20</t>
  </si>
  <si>
    <t>Q1 19</t>
    <phoneticPr fontId="3" type="noConversion"/>
  </si>
  <si>
    <t>Q4 19</t>
    <phoneticPr fontId="3" type="noConversion"/>
  </si>
  <si>
    <t>Q1 20</t>
    <phoneticPr fontId="3" type="noConversion"/>
  </si>
  <si>
    <t>Q3 20</t>
    <phoneticPr fontId="3" type="noConversion"/>
  </si>
  <si>
    <r>
      <rPr>
        <b/>
        <u/>
        <sz val="9"/>
        <color theme="1"/>
        <rFont val="맑은 고딕"/>
        <family val="3"/>
        <charset val="129"/>
        <scheme val="minor"/>
      </rPr>
      <t>Note</t>
    </r>
    <r>
      <rPr>
        <u/>
        <sz val="9"/>
        <color theme="1"/>
        <rFont val="맑은 고딕"/>
        <family val="3"/>
        <charset val="129"/>
        <scheme val="minor"/>
      </rPr>
      <t>:</t>
    </r>
    <phoneticPr fontId="3" type="noConversion"/>
  </si>
  <si>
    <t>FILA Holdings (KS 081660)</t>
    <phoneticPr fontId="3" type="noConversion"/>
  </si>
  <si>
    <t>Q1 21</t>
  </si>
  <si>
    <t>Q2 21</t>
  </si>
  <si>
    <t>Q3 21</t>
  </si>
  <si>
    <t>Q4 21</t>
  </si>
  <si>
    <t>Q1 22</t>
  </si>
  <si>
    <t>Q2 22</t>
  </si>
  <si>
    <t>Q3 22</t>
  </si>
  <si>
    <t>Q4 22</t>
  </si>
  <si>
    <t>재고자산</t>
    <phoneticPr fontId="3" type="noConversion"/>
  </si>
  <si>
    <t>Inventories</t>
    <phoneticPr fontId="3" type="noConversion"/>
  </si>
  <si>
    <t>FY18 5월 액면분할 (5,000원 → 1,000원)</t>
    <phoneticPr fontId="3" type="noConversion"/>
  </si>
  <si>
    <t>관계기업에 대한 투자자산</t>
    <phoneticPr fontId="3" type="noConversion"/>
  </si>
  <si>
    <t>차입금및사채</t>
    <phoneticPr fontId="3" type="noConversion"/>
  </si>
  <si>
    <t>기타금융부채</t>
    <phoneticPr fontId="3" type="noConversion"/>
  </si>
  <si>
    <t>순확정급여부채</t>
    <phoneticPr fontId="3" type="noConversion"/>
  </si>
  <si>
    <t>이연법인세부채</t>
    <phoneticPr fontId="3" type="noConversion"/>
  </si>
  <si>
    <t>Property, plant and equipment</t>
    <phoneticPr fontId="3" type="noConversion"/>
  </si>
  <si>
    <t>Investment in associates</t>
    <phoneticPr fontId="3" type="noConversion"/>
  </si>
  <si>
    <t>Other financial liabilities</t>
    <phoneticPr fontId="3" type="noConversion"/>
  </si>
  <si>
    <t>Borrowings</t>
    <phoneticPr fontId="3" type="noConversion"/>
  </si>
  <si>
    <t>Deferred tax liabilities</t>
    <phoneticPr fontId="3" type="noConversion"/>
  </si>
  <si>
    <t>Total equity</t>
    <phoneticPr fontId="3" type="noConversion"/>
  </si>
  <si>
    <t>Cost of sales</t>
    <phoneticPr fontId="3" type="noConversion"/>
  </si>
  <si>
    <t>Selling and administrative expenses</t>
    <phoneticPr fontId="3" type="noConversion"/>
  </si>
  <si>
    <t>Financial costs</t>
    <phoneticPr fontId="3" type="noConversion"/>
  </si>
  <si>
    <t>Profit before income tax</t>
    <phoneticPr fontId="3" type="noConversion"/>
  </si>
  <si>
    <t>Income tax expense</t>
    <phoneticPr fontId="3" type="noConversion"/>
  </si>
  <si>
    <t>Profit for the year</t>
    <phoneticPr fontId="3" type="noConversion"/>
  </si>
  <si>
    <t>판매비와관리비</t>
    <phoneticPr fontId="3" type="noConversion"/>
  </si>
  <si>
    <t>관계기업에 대한 지분법이익</t>
    <phoneticPr fontId="3" type="noConversion"/>
  </si>
  <si>
    <t>FY2022</t>
  </si>
  <si>
    <t>Q1 18</t>
  </si>
  <si>
    <t>Q2 18</t>
  </si>
  <si>
    <t>Q3 18</t>
  </si>
  <si>
    <t>Q4 18</t>
  </si>
  <si>
    <t>연결 포괄손익계산서</t>
  </si>
  <si>
    <t>제 30 기 1분기 2019.01.01 부터 2019.03.31 까지</t>
  </si>
  <si>
    <t>제 29 기 1분기 2018.01.01 부터 2018.03.31 까지</t>
  </si>
  <si>
    <t>(단위 : 원)</t>
  </si>
  <si>
    <t>제 30 기 1분기</t>
  </si>
  <si>
    <t>제 29 기 1분기</t>
  </si>
  <si>
    <t>3개월</t>
  </si>
  <si>
    <t>누적</t>
  </si>
  <si>
    <t>수익(매출액)</t>
  </si>
  <si>
    <t>매출원가</t>
  </si>
  <si>
    <t>매출총이익</t>
  </si>
  <si>
    <t>판매비와관리비</t>
  </si>
  <si>
    <t>영업이익(손실)</t>
  </si>
  <si>
    <t>기타수익</t>
  </si>
  <si>
    <t>기타비용</t>
  </si>
  <si>
    <t>이자수익</t>
  </si>
  <si>
    <t>금융수익</t>
  </si>
  <si>
    <t>금융비용</t>
  </si>
  <si>
    <t>관계기업에 대한 지분법이익</t>
  </si>
  <si>
    <t>법인세비용차감전순이익(손실)</t>
  </si>
  <si>
    <t>법인세비용</t>
  </si>
  <si>
    <t>분기순이익(손실)</t>
  </si>
  <si>
    <t>기타포괄손익</t>
  </si>
  <si>
    <t>　당기손익으로 재분류되지 않는항목(세후기타포괄손익)</t>
  </si>
  <si>
    <t>　　순확정급여부채의 재측정요소(세후기타포괄손익)</t>
  </si>
  <si>
    <t>　당기손익으로 재분류될 수 있는 항목(세후기타포괄손익)</t>
  </si>
  <si>
    <t>　　지분법 적용대상 관계기업과 공동기업의 기타포괄손익에 대한 지분(세후기타포괄손익)</t>
  </si>
  <si>
    <t>　　해외사업장환산외환차이(세후기타포괄손익)</t>
  </si>
  <si>
    <t>　　파생금융자산평가손익(세후기타포괄손익)</t>
  </si>
  <si>
    <t>분기 세후 기타포괄손익</t>
  </si>
  <si>
    <t>분기총포괄손익</t>
  </si>
  <si>
    <t>분기순이익(손실)의 귀속</t>
  </si>
  <si>
    <t>　지배주주지분</t>
  </si>
  <si>
    <t>　비지배주주지분</t>
  </si>
  <si>
    <t>분기 총포괄손익의 귀속</t>
  </si>
  <si>
    <t>　비지배지분</t>
  </si>
  <si>
    <t>주당이익</t>
  </si>
  <si>
    <t>　기본주당이익(손실) (단위 : 원)</t>
  </si>
  <si>
    <t>　희석주당이익(손실) (단위 : 원)</t>
  </si>
  <si>
    <t>영업이익(손실)</t>
    <phoneticPr fontId="3" type="noConversion"/>
  </si>
  <si>
    <t>법인세비용차감전순이익(손실)</t>
    <phoneticPr fontId="3" type="noConversion"/>
  </si>
  <si>
    <t>당기순이익(손실)</t>
  </si>
  <si>
    <t>총포괄손익</t>
  </si>
  <si>
    <t>제 30 기 반기 2019.01.01 부터 2019.06.30 까지</t>
  </si>
  <si>
    <t>제 29 기 반기 2018.01.01 부터 2018.06.30 까지</t>
  </si>
  <si>
    <t>제 30 기 반기</t>
  </si>
  <si>
    <t>제 29 기 반기</t>
  </si>
  <si>
    <t>법인세비용(수익)</t>
  </si>
  <si>
    <t>반기순이익(손실)</t>
  </si>
  <si>
    <t>　　기타포괄손익공정가치 금융상품 평가손익</t>
  </si>
  <si>
    <t>　　관계기업에 대한 지분법자본변동</t>
  </si>
  <si>
    <t>반기 세후 기타포괄손익</t>
  </si>
  <si>
    <t>반기총포괄손익</t>
  </si>
  <si>
    <t>반기순이익(손실)의 귀속</t>
  </si>
  <si>
    <t>반기 총포괄손익의 귀속</t>
  </si>
  <si>
    <t>제 30 기 3분기 2019.01.01 부터 2019.09.30 까지</t>
  </si>
  <si>
    <t>제 29 기 3분기 2018.01.01 부터 2018.09.30 까지</t>
  </si>
  <si>
    <t>제 30 기 3분기</t>
  </si>
  <si>
    <t>제 29 기 3분기</t>
  </si>
  <si>
    <t>제 30 기 2019.01.01 부터 2019.12.31 까지</t>
  </si>
  <si>
    <t>제 29 기 2018.01.01 부터 2018.12.31 까지</t>
  </si>
  <si>
    <t>제 28 기 2017.01.01 부터 2017.12.31 까지</t>
  </si>
  <si>
    <t>제 30 기</t>
  </si>
  <si>
    <t>제 29 기</t>
  </si>
  <si>
    <t>제 28 기</t>
  </si>
  <si>
    <t>　　매도가능금융자산평가손익(세후기타포괄손익)</t>
  </si>
  <si>
    <t>당기 세후 기타포괄손익</t>
  </si>
  <si>
    <t>당기순이익(손실)의 귀속</t>
  </si>
  <si>
    <t>당기 총포괄손익의 귀속</t>
  </si>
  <si>
    <r>
      <rPr>
        <sz val="10"/>
        <color theme="1"/>
        <rFont val="돋움"/>
        <family val="3"/>
        <charset val="129"/>
      </rPr>
      <t>법인세비용</t>
    </r>
    <r>
      <rPr>
        <sz val="10"/>
        <color theme="1"/>
        <rFont val="Calibri"/>
        <family val="2"/>
      </rPr>
      <t>(</t>
    </r>
    <r>
      <rPr>
        <sz val="10"/>
        <color theme="1"/>
        <rFont val="돋움"/>
        <family val="3"/>
        <charset val="129"/>
      </rPr>
      <t>수익</t>
    </r>
    <r>
      <rPr>
        <sz val="10"/>
        <color theme="1"/>
        <rFont val="Calibri"/>
        <family val="2"/>
      </rPr>
      <t>)</t>
    </r>
    <phoneticPr fontId="3" type="noConversion"/>
  </si>
  <si>
    <t>법인세비용(수익)</t>
    <phoneticPr fontId="3" type="noConversion"/>
  </si>
  <si>
    <t>분기순이익(손실)</t>
    <phoneticPr fontId="3" type="noConversion"/>
  </si>
  <si>
    <t>분기총포괄손익</t>
    <phoneticPr fontId="3" type="noConversion"/>
  </si>
  <si>
    <t>연결 재무상태표</t>
  </si>
  <si>
    <t>제 30 기 1분기말 2019.03.31 현재</t>
  </si>
  <si>
    <t>제 29 기말          2018.12.31 현재</t>
  </si>
  <si>
    <t>제 30 기 1분기말</t>
  </si>
  <si>
    <t>제 29 기말</t>
  </si>
  <si>
    <t>자산</t>
  </si>
  <si>
    <t>　유동자산</t>
  </si>
  <si>
    <t>　　현금및현금성자산</t>
  </si>
  <si>
    <t>　　매출채권 및 기타유동채권</t>
  </si>
  <si>
    <t>　　재고자산</t>
  </si>
  <si>
    <t>　　기타유동금융자산</t>
  </si>
  <si>
    <t>　　당기손익-공정가치 측정 금융자산</t>
  </si>
  <si>
    <t>　　유동계약자산</t>
  </si>
  <si>
    <t>　　유동파생금융자산</t>
  </si>
  <si>
    <t>　　당기법인세자산</t>
  </si>
  <si>
    <t>　　기타유동자산</t>
  </si>
  <si>
    <t>　비유동자산</t>
  </si>
  <si>
    <t>　　장기매출채권 및 기타비유동채권</t>
  </si>
  <si>
    <t>　　기타비유동금융자산</t>
  </si>
  <si>
    <t>　　유형자산</t>
  </si>
  <si>
    <t>　　무형자산</t>
  </si>
  <si>
    <t>　　관계기업에 대한 투자자산</t>
  </si>
  <si>
    <t>　　비유동 기타포괄손익-공정가치 측정 금융자산</t>
  </si>
  <si>
    <t>　　비유동파생금융자산</t>
  </si>
  <si>
    <t>　　이연법인세자산</t>
  </si>
  <si>
    <t>　　기타비유동자산</t>
  </si>
  <si>
    <t>　자산총계</t>
  </si>
  <si>
    <t>부채</t>
  </si>
  <si>
    <t>　유동부채</t>
  </si>
  <si>
    <t>　　매입채무 및 기타유동채무</t>
  </si>
  <si>
    <t>　　단기차입금</t>
  </si>
  <si>
    <t>　　기타유동금융부채</t>
  </si>
  <si>
    <t>　　유동파생상품부채</t>
  </si>
  <si>
    <t>　　당기손익-공정가치 측정 금융부채</t>
  </si>
  <si>
    <t>　　기타유동부채</t>
  </si>
  <si>
    <t>　　유동계약부채</t>
  </si>
  <si>
    <t>　　당기법인세부채</t>
  </si>
  <si>
    <t>　비유동부채</t>
  </si>
  <si>
    <t>　　장기매입채무 및 기타비유동채무</t>
  </si>
  <si>
    <t>　　장기차입금</t>
  </si>
  <si>
    <t>　　사채</t>
  </si>
  <si>
    <t>　　기타비유동금융부채</t>
  </si>
  <si>
    <t>　　비유동파생금융부채</t>
  </si>
  <si>
    <t>　　순확정급여부채</t>
  </si>
  <si>
    <t>　　이연법인세부채</t>
  </si>
  <si>
    <t>　　기타비유동부채</t>
  </si>
  <si>
    <t>　　비유동계약부채</t>
  </si>
  <si>
    <t>　부채총계</t>
  </si>
  <si>
    <t>자본</t>
  </si>
  <si>
    <t>　지배기업의 소유주에게 귀속되는 자본</t>
  </si>
  <si>
    <t>　　보통주자본금</t>
  </si>
  <si>
    <t>　　주식발행초과금</t>
  </si>
  <si>
    <t>　　기타자본구성요소</t>
  </si>
  <si>
    <t>　　기타자본잉여금</t>
  </si>
  <si>
    <t>　　이익잉여금</t>
  </si>
  <si>
    <t>　자본총계</t>
  </si>
  <si>
    <t>자본과부채총계</t>
  </si>
  <si>
    <t>제 30 기 반기말 2019.06.30 현재</t>
  </si>
  <si>
    <t>제 29 기말        2018.12.31 현재</t>
  </si>
  <si>
    <t>제 30 기 반기말</t>
  </si>
  <si>
    <t>　　유동성사채</t>
  </si>
  <si>
    <t>　　복구충당부채</t>
  </si>
  <si>
    <t>제 30 기 3분기말 2019.09.30 현재</t>
  </si>
  <si>
    <t>제 29 기말          2018.12.31 현재</t>
  </si>
  <si>
    <t>제 30 기 3분기말</t>
  </si>
  <si>
    <t>제 30 기          2019.12.31 현재</t>
  </si>
  <si>
    <t>제 29 기          2018.12.31 현재</t>
  </si>
  <si>
    <t>제 28 기          2017.12.31 현재</t>
  </si>
  <si>
    <t>　　매도가능금융자산</t>
  </si>
  <si>
    <t>제 31 기 1분기말 2020.03.31 현재</t>
  </si>
  <si>
    <t>제 30 기말          2019.12.31 현재</t>
  </si>
  <si>
    <t>제 31 기 1분기말</t>
  </si>
  <si>
    <t>제 30 기말</t>
  </si>
  <si>
    <t>　　유동 당기손익-공정가치 의무 측정 금융자산</t>
  </si>
  <si>
    <t>제 31 기 1분기 2020.01.01 부터 2020.03.31 까지</t>
  </si>
  <si>
    <t>제 31 기 1분기</t>
  </si>
  <si>
    <t>매출</t>
  </si>
  <si>
    <t>제 31 기 반기말 2020.06.30 현재</t>
  </si>
  <si>
    <t>제 30 기말        2019.12.31 현재</t>
  </si>
  <si>
    <t>제 31 기 반기말</t>
  </si>
  <si>
    <t>제 31 기 반기 2020.01.01 부터 2020.06.30 까지</t>
  </si>
  <si>
    <t>제 31 기 반기</t>
  </si>
  <si>
    <t>제 31 기 3분기말 2020.09.30 현재</t>
  </si>
  <si>
    <t>제 31 기 3분기말</t>
  </si>
  <si>
    <t>제 31 기 3분기 2020.01.01 부터 2020.09.30 까지</t>
  </si>
  <si>
    <t>제 31 기 3분기</t>
  </si>
  <si>
    <t>제 31 기          2020.12.31 현재</t>
  </si>
  <si>
    <t>제 31 기</t>
  </si>
  <si>
    <t>제 31 기 2020.01.01 부터 2020.12.31 까지</t>
  </si>
  <si>
    <t>　　공정가치 금융자산 평가손익</t>
  </si>
  <si>
    <t>제 32 기 1분기말 2021.03.31 현재</t>
  </si>
  <si>
    <t>제 31 기말          2020.12.31 현재</t>
  </si>
  <si>
    <t>제 32 기 1분기말</t>
  </si>
  <si>
    <t>제 31 기말</t>
  </si>
  <si>
    <t>　　기타금융자산</t>
  </si>
  <si>
    <t>　　매출채권 및 기타채권</t>
  </si>
  <si>
    <t>　　매입채무 및 기타채무</t>
  </si>
  <si>
    <t>　　차입금</t>
  </si>
  <si>
    <t>　　기타금융부채</t>
  </si>
  <si>
    <t>　　비유동충당부채</t>
  </si>
  <si>
    <t>제 32 기 1분기 2021.01.01 부터 2021.03.31 까지</t>
  </si>
  <si>
    <t>제 32 기 1분기</t>
  </si>
  <si>
    <t>제 29 기 1분기말 2018.03.31 현재</t>
  </si>
  <si>
    <t>제 28 기말          2017.12.31 현재</t>
  </si>
  <si>
    <t>제 29 기 1분기말</t>
  </si>
  <si>
    <t>제 28 기말</t>
  </si>
  <si>
    <t>　　당기손익 공정가치 금융자산</t>
  </si>
  <si>
    <t>　　유동파생상품자산</t>
  </si>
  <si>
    <t>　　종속기업, 조인트벤처와 관계기업에 대한 투자자산</t>
  </si>
  <si>
    <t>　　비유동매도가능금융자산</t>
  </si>
  <si>
    <t>　　기타포괄손익 공정가치 금융자산</t>
  </si>
  <si>
    <t>　　비유동파생상품자산</t>
  </si>
  <si>
    <t>　　비유동파생상품부채</t>
  </si>
  <si>
    <t>　　확정급여채무의현재가치</t>
  </si>
  <si>
    <t>　　이익잉여금(결손금)</t>
  </si>
  <si>
    <t>제 28 기 1분기 2017.01.01 부터 2017.03.31 까지</t>
  </si>
  <si>
    <t>제 28 기 1분기</t>
  </si>
  <si>
    <t>기타이익</t>
  </si>
  <si>
    <t>기타손실</t>
  </si>
  <si>
    <t>금융원가</t>
  </si>
  <si>
    <t>관계기업에 대한 지분법손익</t>
  </si>
  <si>
    <t>　　확정급여제도의 재측정손익(세후기타포괄손익)</t>
  </si>
  <si>
    <t>　　파생금융자산평가손익</t>
  </si>
  <si>
    <t>　지배기업의 소유주에게 귀속되는 당기순이익(손실)</t>
  </si>
  <si>
    <t>　비지배지분에 귀속되는 당기순이익(손실)</t>
  </si>
  <si>
    <t>총 포괄손익의 귀속</t>
  </si>
  <si>
    <t>　총 포괄손익, 지배기업의 소유주에게 귀속되는 지분</t>
  </si>
  <si>
    <t>　총 포괄손익, 비지배지분</t>
  </si>
  <si>
    <t>기타</t>
    <phoneticPr fontId="3" type="noConversion"/>
  </si>
  <si>
    <t>제 29 기 반기말 2018.06.30 현재</t>
  </si>
  <si>
    <t>제 28 기말        2017.12.31 현재</t>
  </si>
  <si>
    <t>제 29 기 반기말</t>
  </si>
  <si>
    <t>　　유동확정계약부채</t>
  </si>
  <si>
    <t>　　비유동확정계약부채</t>
  </si>
  <si>
    <t>제 28 기 반기 2017.01.01 부터 2017.06.30 까지</t>
  </si>
  <si>
    <t>제 28 기 반기</t>
  </si>
  <si>
    <t>제 29 기 3분기말 2018.09.30 현재</t>
  </si>
  <si>
    <t>제 29 기 3분기말</t>
  </si>
  <si>
    <t>　　당기손익 공정가치 금융부채</t>
  </si>
  <si>
    <t>제 28 기 3분기 2017.01.01 부터 2017.09.30 까지</t>
  </si>
  <si>
    <t>제 28 기 3분기</t>
  </si>
  <si>
    <t>제 27 기          2016.12.31 현재</t>
  </si>
  <si>
    <t>제 27 기</t>
  </si>
  <si>
    <t>　　유동파생금융자산 </t>
  </si>
  <si>
    <t>　　유동파생금융부채</t>
  </si>
  <si>
    <t>제 27 기 2016.01.01 부터 2016.12.31 까지</t>
  </si>
  <si>
    <t>기타수익 </t>
  </si>
  <si>
    <t>이자수익 </t>
  </si>
  <si>
    <t>금융비용 </t>
  </si>
  <si>
    <t>　　기타포괄손익공정가치 금융상품 평가손익  </t>
  </si>
  <si>
    <t>　　관계기업에 대한 지분법이익잉여금변동</t>
  </si>
  <si>
    <t>세후 기타포괄손익 </t>
  </si>
  <si>
    <t>제 32 기 반기말 2021.06.30 현재</t>
  </si>
  <si>
    <t>제 31 기말        2020.12.31 현재</t>
  </si>
  <si>
    <t>제 32 기 반기말</t>
  </si>
  <si>
    <t>　　계약자산</t>
  </si>
  <si>
    <t>　　파생금융자산</t>
  </si>
  <si>
    <t>　　기타포괄손익-공정가치 측정 금융자산</t>
  </si>
  <si>
    <t>　　파생상품부채</t>
  </si>
  <si>
    <t>　　계약부채</t>
  </si>
  <si>
    <t>　　파생금융부채</t>
  </si>
  <si>
    <t>　　기타자본항목</t>
  </si>
  <si>
    <t>　　기타잉여금</t>
  </si>
  <si>
    <t>제 32 기 반기 2021.01.01 부터 2021.06.30 까지</t>
  </si>
  <si>
    <t>제 32 기 반기</t>
  </si>
  <si>
    <t>매출액</t>
  </si>
  <si>
    <t>제 32 기 3분기말 2021.09.30 현재</t>
  </si>
  <si>
    <t>제 32 기 3분기말</t>
  </si>
  <si>
    <t>　　차입금및사채</t>
  </si>
  <si>
    <t>제 32 기 3분기 2021.01.01 부터 2021.09.30 까지</t>
  </si>
  <si>
    <t>제 32 기 3분기</t>
  </si>
  <si>
    <t>매출액</t>
    <phoneticPr fontId="3" type="noConversion"/>
  </si>
  <si>
    <t>구분</t>
  </si>
  <si>
    <t>Capex</t>
    <phoneticPr fontId="3" type="noConversion"/>
  </si>
  <si>
    <t>Cash ratio (%)</t>
    <phoneticPr fontId="3" type="noConversion"/>
  </si>
  <si>
    <t>Financial Year ends Dec. 31</t>
    <phoneticPr fontId="3" type="noConversion"/>
  </si>
  <si>
    <t>주당이익(원)</t>
    <phoneticPr fontId="3" type="noConversion"/>
  </si>
  <si>
    <t>Share of net profit of associates accounted for using the equity method</t>
    <phoneticPr fontId="3" type="noConversion"/>
  </si>
  <si>
    <t>Other comprehensive income</t>
    <phoneticPr fontId="3" type="noConversion"/>
  </si>
  <si>
    <t>부채비율(%): 부채총계/자본총계</t>
    <phoneticPr fontId="3" type="noConversion"/>
  </si>
  <si>
    <t>순부채비율(%): 순부채/자본총계</t>
    <phoneticPr fontId="3" type="noConversion"/>
  </si>
  <si>
    <t>현금비율(%): 현금및현금성자산/유동부채</t>
    <phoneticPr fontId="3" type="noConversion"/>
  </si>
  <si>
    <t>(십억원)</t>
    <phoneticPr fontId="3" type="noConversion"/>
  </si>
  <si>
    <t>Current liabilities</t>
    <phoneticPr fontId="3" type="noConversion"/>
  </si>
  <si>
    <t>Non-current liabilities</t>
    <phoneticPr fontId="3" type="noConversion"/>
  </si>
  <si>
    <t>회계연도말 12월 31일</t>
    <phoneticPr fontId="3" type="noConversion"/>
  </si>
  <si>
    <t>Current ratio: Current assets / Current liabilities</t>
    <phoneticPr fontId="3" type="noConversion"/>
  </si>
  <si>
    <t>Total liabilities and equity</t>
    <phoneticPr fontId="3" type="noConversion"/>
  </si>
  <si>
    <t>Inventory turnover</t>
    <phoneticPr fontId="3" type="noConversion"/>
  </si>
  <si>
    <t>재고자산 회전일수 (일)</t>
    <phoneticPr fontId="3" type="noConversion"/>
  </si>
  <si>
    <t>유동비율 (%)</t>
    <phoneticPr fontId="3" type="noConversion"/>
  </si>
  <si>
    <t>부채비율 (%)</t>
    <phoneticPr fontId="3" type="noConversion"/>
  </si>
  <si>
    <t>순부채비율 (%)</t>
    <phoneticPr fontId="3" type="noConversion"/>
  </si>
  <si>
    <t>현금비율 (%)</t>
    <phoneticPr fontId="3" type="noConversion"/>
  </si>
  <si>
    <t>Days of inventory outstanding: 365 / Inventory turnover</t>
    <phoneticPr fontId="3" type="noConversion"/>
  </si>
  <si>
    <t>Inventory turnover: COGS / avg. inventories</t>
    <phoneticPr fontId="3" type="noConversion"/>
  </si>
  <si>
    <t>Days of inventory outstanding (days)</t>
    <phoneticPr fontId="3" type="noConversion"/>
  </si>
  <si>
    <t>재고자산 회전율</t>
    <phoneticPr fontId="3" type="noConversion"/>
  </si>
  <si>
    <t>당기순이익(손실)</t>
    <phoneticPr fontId="3" type="noConversion"/>
  </si>
  <si>
    <t>지배주주지분 당기순이익</t>
    <phoneticPr fontId="3" type="noConversion"/>
  </si>
  <si>
    <t>Q4 21</t>
    <phoneticPr fontId="3" type="noConversion"/>
  </si>
  <si>
    <t>Earnings per share (KRW)</t>
    <phoneticPr fontId="3" type="noConversion"/>
  </si>
  <si>
    <t>재고자산 회전일수 (일): 365 / 재고자산회전율</t>
    <phoneticPr fontId="3" type="noConversion"/>
  </si>
  <si>
    <t>재고자산 회전율: 매출원가 / 평균 재고자산</t>
    <phoneticPr fontId="3" type="noConversion"/>
  </si>
  <si>
    <t>Gross margin (%)</t>
    <phoneticPr fontId="3" type="noConversion"/>
  </si>
  <si>
    <t>Operating margin (%)</t>
    <phoneticPr fontId="3" type="noConversion"/>
  </si>
  <si>
    <t>Net profit margin (%)</t>
    <phoneticPr fontId="3" type="noConversion"/>
  </si>
  <si>
    <t>ROA (%)</t>
    <phoneticPr fontId="3" type="noConversion"/>
  </si>
  <si>
    <t>ROE (%)</t>
    <phoneticPr fontId="3" type="noConversion"/>
  </si>
  <si>
    <t>매출총이익률 (%)</t>
    <phoneticPr fontId="3" type="noConversion"/>
  </si>
  <si>
    <t>영업이익률 (%)</t>
    <phoneticPr fontId="3" type="noConversion"/>
  </si>
  <si>
    <t>순이익률 (%)</t>
    <phoneticPr fontId="3" type="noConversion"/>
  </si>
  <si>
    <t>ROA( %)</t>
    <phoneticPr fontId="3" type="noConversion"/>
  </si>
  <si>
    <t>이자보상배율 (배)</t>
    <phoneticPr fontId="3" type="noConversion"/>
  </si>
  <si>
    <t>시가배당률 (%)</t>
    <phoneticPr fontId="3" type="noConversion"/>
  </si>
  <si>
    <t>배당성향 (%)</t>
    <phoneticPr fontId="3" type="noConversion"/>
  </si>
  <si>
    <t>Payout ratio (%)</t>
    <phoneticPr fontId="3" type="noConversion"/>
  </si>
  <si>
    <t>재고자산</t>
    <phoneticPr fontId="3" type="noConversion"/>
  </si>
  <si>
    <t>자산총계</t>
    <phoneticPr fontId="3" type="noConversion"/>
  </si>
  <si>
    <t>자본총계</t>
    <phoneticPr fontId="3" type="noConversion"/>
  </si>
  <si>
    <t>Free cash flow</t>
    <phoneticPr fontId="3" type="noConversion"/>
  </si>
  <si>
    <t>Operating cash flow</t>
    <phoneticPr fontId="3" type="noConversion"/>
  </si>
  <si>
    <t>이자비용</t>
    <phoneticPr fontId="3" type="noConversion"/>
  </si>
  <si>
    <t>Q4 18</t>
    <phoneticPr fontId="3" type="noConversion"/>
  </si>
  <si>
    <t>감가상각비용</t>
    <phoneticPr fontId="3" type="noConversion"/>
  </si>
  <si>
    <t>EBITDA: 영업이익 + 감가상각비</t>
    <phoneticPr fontId="3" type="noConversion"/>
  </si>
  <si>
    <t>이자보상배율: 영업이익 / 이자비용</t>
    <phoneticPr fontId="3" type="noConversion"/>
  </si>
  <si>
    <t>시가배당률: 주당배당금 / 기준주가</t>
    <phoneticPr fontId="3" type="noConversion"/>
  </si>
  <si>
    <t>주당배당금 (원)</t>
    <phoneticPr fontId="3" type="noConversion"/>
  </si>
  <si>
    <t>Dividend per share (KRW)</t>
    <phoneticPr fontId="3" type="noConversion"/>
  </si>
  <si>
    <t>Dividend yield (%)</t>
    <phoneticPr fontId="3" type="noConversion"/>
  </si>
  <si>
    <t>FY16 11월 Acushnet 상장 및 연결종속회사 편입</t>
    <phoneticPr fontId="3" type="noConversion"/>
  </si>
  <si>
    <t>FY16 Nov. Acushnet was listed on NYSE and FILA began recognizing Acushnet on consolidated financial statements</t>
    <phoneticPr fontId="3" type="noConversion"/>
  </si>
  <si>
    <t>Note:</t>
    <phoneticPr fontId="3" type="noConversion"/>
  </si>
  <si>
    <t>Q1 22</t>
    <phoneticPr fontId="65" type="noConversion"/>
  </si>
  <si>
    <t>Q1 21</t>
    <phoneticPr fontId="65" type="noConversion"/>
  </si>
  <si>
    <t>YoY</t>
    <phoneticPr fontId="65" type="noConversion"/>
  </si>
  <si>
    <t>C/C</t>
    <phoneticPr fontId="65" type="noConversion"/>
  </si>
  <si>
    <t>Q2 21</t>
    <phoneticPr fontId="65" type="noConversion"/>
  </si>
  <si>
    <t>Q3 21</t>
    <phoneticPr fontId="65" type="noConversion"/>
  </si>
  <si>
    <t>Q4 21</t>
    <phoneticPr fontId="65" type="noConversion"/>
  </si>
  <si>
    <t>Revenue</t>
  </si>
  <si>
    <t>Acushnet</t>
    <phoneticPr fontId="65" type="noConversion"/>
  </si>
  <si>
    <t>Gross profit</t>
    <phoneticPr fontId="65" type="noConversion"/>
  </si>
  <si>
    <t>SG&amp;A</t>
    <phoneticPr fontId="65" type="noConversion"/>
  </si>
  <si>
    <t>Operating profit</t>
    <phoneticPr fontId="65" type="noConversion"/>
  </si>
  <si>
    <t>Net Income</t>
    <phoneticPr fontId="65" type="noConversion"/>
  </si>
  <si>
    <t>2. FILA USA</t>
    <phoneticPr fontId="65" type="noConversion"/>
  </si>
  <si>
    <t>Asia</t>
    <phoneticPr fontId="65" type="noConversion"/>
  </si>
  <si>
    <t>North America</t>
    <phoneticPr fontId="65" type="noConversion"/>
  </si>
  <si>
    <t>South America</t>
    <phoneticPr fontId="65" type="noConversion"/>
  </si>
  <si>
    <t>EMEA</t>
    <phoneticPr fontId="65" type="noConversion"/>
  </si>
  <si>
    <t>Category</t>
    <phoneticPr fontId="65" type="noConversion"/>
  </si>
  <si>
    <t>5. Acushnet</t>
    <phoneticPr fontId="65" type="noConversion"/>
  </si>
  <si>
    <t>Adj. EBITDA</t>
    <phoneticPr fontId="65" type="noConversion"/>
  </si>
  <si>
    <r>
      <t>(KRW mn)</t>
    </r>
    <r>
      <rPr>
        <b/>
        <sz val="9"/>
        <color rgb="FF000000"/>
        <rFont val="맑은 고딕"/>
        <family val="3"/>
        <charset val="129"/>
      </rPr>
      <t>　</t>
    </r>
    <phoneticPr fontId="65" type="noConversion"/>
  </si>
  <si>
    <t>Q1 19</t>
    <phoneticPr fontId="65" type="noConversion"/>
  </si>
  <si>
    <t>Q2 19</t>
    <phoneticPr fontId="65" type="noConversion"/>
  </si>
  <si>
    <t>Q3 19</t>
    <phoneticPr fontId="65" type="noConversion"/>
  </si>
  <si>
    <t>Q4 19</t>
    <phoneticPr fontId="65" type="noConversion"/>
  </si>
  <si>
    <t>Q1 20</t>
    <phoneticPr fontId="65" type="noConversion"/>
  </si>
  <si>
    <t>Q2 20</t>
    <phoneticPr fontId="65" type="noConversion"/>
  </si>
  <si>
    <t>Q3 20</t>
    <phoneticPr fontId="65" type="noConversion"/>
  </si>
  <si>
    <t>Q4 20</t>
    <phoneticPr fontId="65" type="noConversion"/>
  </si>
  <si>
    <t>4. Global Royalty</t>
    <phoneticPr fontId="65" type="noConversion"/>
  </si>
  <si>
    <t>Appendix</t>
    <phoneticPr fontId="65" type="noConversion"/>
  </si>
  <si>
    <t>Shareholder return</t>
    <phoneticPr fontId="65" type="noConversion"/>
  </si>
  <si>
    <t>Foreign exchange rate</t>
    <phoneticPr fontId="65" type="noConversion"/>
  </si>
  <si>
    <t>KRW mn</t>
  </si>
  <si>
    <t xml:space="preserve">Earnings per share </t>
  </si>
  <si>
    <t>KRW</t>
  </si>
  <si>
    <t>Types of dividends</t>
  </si>
  <si>
    <t>Cash</t>
  </si>
  <si>
    <t>Total amount of dividends</t>
  </si>
  <si>
    <t>Dividend per share</t>
  </si>
  <si>
    <t>%</t>
  </si>
  <si>
    <t>Dividend yield</t>
  </si>
  <si>
    <t>USD/KRW (Quarterly)</t>
    <phoneticPr fontId="65" type="noConversion"/>
  </si>
  <si>
    <t>USD/KRW (YTD)</t>
    <phoneticPr fontId="65" type="noConversion"/>
  </si>
  <si>
    <t>3. FILA KOREA</t>
    <phoneticPr fontId="65" type="noConversion"/>
  </si>
  <si>
    <t>FILA</t>
    <phoneticPr fontId="65" type="noConversion"/>
  </si>
  <si>
    <t>1. Consolidated P&amp;L summary</t>
    <phoneticPr fontId="65" type="noConversion"/>
  </si>
  <si>
    <r>
      <t>(USD K)</t>
    </r>
    <r>
      <rPr>
        <b/>
        <sz val="9"/>
        <color rgb="FF000000"/>
        <rFont val="맑은 고딕"/>
        <family val="3"/>
        <charset val="129"/>
      </rPr>
      <t>　</t>
    </r>
    <phoneticPr fontId="65" type="noConversion"/>
  </si>
  <si>
    <t>Gross Profit</t>
    <phoneticPr fontId="65" type="noConversion"/>
  </si>
  <si>
    <t>Borrowings and bonds</t>
    <phoneticPr fontId="3" type="noConversion"/>
  </si>
  <si>
    <t>제 32 기          2021.12.31 현재</t>
  </si>
  <si>
    <t>제 31 기          2020.12.31 현재</t>
  </si>
  <si>
    <t>제 30 기          2019.12.31 현재</t>
  </si>
  <si>
    <t>제 32 기</t>
  </si>
  <si>
    <t>　　장기매출채권 및 기타채권</t>
  </si>
  <si>
    <t>　　장기기타금융자산</t>
  </si>
  <si>
    <t>　　장기매입채무 및 기타채무</t>
  </si>
  <si>
    <t>　　차입금 및 사채</t>
  </si>
  <si>
    <t>　　법인세부채</t>
  </si>
  <si>
    <t>　　자본금</t>
  </si>
  <si>
    <t>　　자본잉여금</t>
  </si>
  <si>
    <t>　　자본조정</t>
  </si>
  <si>
    <t>　　기타포괄손익누계액</t>
  </si>
  <si>
    <t>제 32 기 2021.01.01 부터 2021.12.31 까지</t>
  </si>
  <si>
    <t>　　기타포괄손익-공정가치 측정 금융자산 평가손익</t>
  </si>
  <si>
    <t>당기총포괄손익</t>
  </si>
  <si>
    <t>Net defined benefit liabilities</t>
    <phoneticPr fontId="3" type="noConversion"/>
  </si>
  <si>
    <t>차입금 및 사채</t>
    <phoneticPr fontId="3" type="noConversion"/>
  </si>
  <si>
    <t>Equity</t>
    <phoneticPr fontId="3" type="noConversion"/>
  </si>
  <si>
    <t>Equity attributable to owners of the Company</t>
    <phoneticPr fontId="3" type="noConversion"/>
  </si>
  <si>
    <t>지배기업의 소유주에게 귀속되는 자본</t>
    <phoneticPr fontId="3" type="noConversion"/>
  </si>
  <si>
    <t>자본금</t>
    <phoneticPr fontId="3" type="noConversion"/>
  </si>
  <si>
    <t>자본잉여금</t>
    <phoneticPr fontId="3" type="noConversion"/>
  </si>
  <si>
    <t>Capital surplus</t>
    <phoneticPr fontId="3" type="noConversion"/>
  </si>
  <si>
    <t>Ordinary shares</t>
    <phoneticPr fontId="3" type="noConversion"/>
  </si>
  <si>
    <t>자본조정</t>
    <phoneticPr fontId="3" type="noConversion"/>
  </si>
  <si>
    <t>Capital adjustment</t>
    <phoneticPr fontId="3" type="noConversion"/>
  </si>
  <si>
    <t>기타포괄손익누계액</t>
    <phoneticPr fontId="3" type="noConversion"/>
  </si>
  <si>
    <t>Accumulated other comprehensive income(loss)</t>
    <phoneticPr fontId="3" type="noConversion"/>
  </si>
  <si>
    <t>Non-controlling interests</t>
    <phoneticPr fontId="3" type="noConversion"/>
  </si>
  <si>
    <t>Gross profit</t>
    <phoneticPr fontId="3" type="noConversion"/>
  </si>
  <si>
    <t>Operating profit</t>
    <phoneticPr fontId="3" type="noConversion"/>
  </si>
  <si>
    <t>Other income</t>
    <phoneticPr fontId="3" type="noConversion"/>
  </si>
  <si>
    <t>Other expenses</t>
    <phoneticPr fontId="3" type="noConversion"/>
  </si>
  <si>
    <t>Financial income</t>
    <phoneticPr fontId="3" type="noConversion"/>
  </si>
  <si>
    <t>Total comprehensive income for the year</t>
    <phoneticPr fontId="3" type="noConversion"/>
  </si>
  <si>
    <t>Profit attributable to Owners of the Controlling Company</t>
    <phoneticPr fontId="3" type="noConversion"/>
  </si>
  <si>
    <t>당기총포괄손익</t>
    <phoneticPr fontId="3" type="noConversion"/>
  </si>
  <si>
    <r>
      <t xml:space="preserve">vlookup </t>
    </r>
    <r>
      <rPr>
        <sz val="10"/>
        <color rgb="FFFF0000"/>
        <rFont val="돋움"/>
        <family val="3"/>
        <charset val="129"/>
      </rPr>
      <t>쓰고</t>
    </r>
    <r>
      <rPr>
        <sz val="10"/>
        <color rgb="FFFF0000"/>
        <rFont val="Calibri"/>
        <family val="2"/>
      </rPr>
      <t xml:space="preserve"> </t>
    </r>
    <r>
      <rPr>
        <sz val="10"/>
        <color rgb="FFFF0000"/>
        <rFont val="돋움"/>
        <family val="3"/>
        <charset val="129"/>
      </rPr>
      <t>숫자</t>
    </r>
    <r>
      <rPr>
        <sz val="10"/>
        <color rgb="FFFF0000"/>
        <rFont val="Calibri"/>
        <family val="2"/>
      </rPr>
      <t xml:space="preserve"> </t>
    </r>
    <r>
      <rPr>
        <sz val="10"/>
        <color rgb="FFFF0000"/>
        <rFont val="돋움"/>
        <family val="3"/>
        <charset val="129"/>
      </rPr>
      <t>더블체크</t>
    </r>
    <r>
      <rPr>
        <sz val="10"/>
        <color rgb="FFFF0000"/>
        <rFont val="Calibri"/>
        <family val="2"/>
      </rPr>
      <t xml:space="preserve"> (</t>
    </r>
    <r>
      <rPr>
        <sz val="10"/>
        <color rgb="FFFF0000"/>
        <rFont val="돋움"/>
        <family val="3"/>
        <charset val="129"/>
      </rPr>
      <t>유동</t>
    </r>
    <r>
      <rPr>
        <sz val="10"/>
        <color rgb="FFFF0000"/>
        <rFont val="Calibri"/>
        <family val="2"/>
      </rPr>
      <t>/</t>
    </r>
    <r>
      <rPr>
        <sz val="10"/>
        <color rgb="FFFF0000"/>
        <rFont val="돋움"/>
        <family val="3"/>
        <charset val="129"/>
      </rPr>
      <t>비유동</t>
    </r>
    <r>
      <rPr>
        <sz val="10"/>
        <color rgb="FFFF0000"/>
        <rFont val="Calibri"/>
        <family val="2"/>
      </rPr>
      <t xml:space="preserve"> </t>
    </r>
    <r>
      <rPr>
        <sz val="10"/>
        <color rgb="FFFF0000"/>
        <rFont val="돋움"/>
        <family val="3"/>
        <charset val="129"/>
      </rPr>
      <t>같은</t>
    </r>
    <r>
      <rPr>
        <sz val="10"/>
        <color rgb="FFFF0000"/>
        <rFont val="Calibri"/>
        <family val="2"/>
      </rPr>
      <t xml:space="preserve"> </t>
    </r>
    <r>
      <rPr>
        <sz val="10"/>
        <color rgb="FFFF0000"/>
        <rFont val="돋움"/>
        <family val="3"/>
        <charset val="129"/>
      </rPr>
      <t>계정과목</t>
    </r>
    <r>
      <rPr>
        <sz val="10"/>
        <color rgb="FFFF0000"/>
        <rFont val="Calibri"/>
        <family val="2"/>
      </rPr>
      <t xml:space="preserve"> &amp; </t>
    </r>
    <r>
      <rPr>
        <sz val="10"/>
        <color rgb="FFFF0000"/>
        <rFont val="돋움"/>
        <family val="3"/>
        <charset val="129"/>
      </rPr>
      <t>사채</t>
    </r>
    <r>
      <rPr>
        <sz val="10"/>
        <color rgb="FFFF0000"/>
        <rFont val="Calibri"/>
        <family val="2"/>
      </rPr>
      <t xml:space="preserve"> )</t>
    </r>
    <phoneticPr fontId="3" type="noConversion"/>
  </si>
  <si>
    <t>Financial year ends Dec. 31</t>
    <phoneticPr fontId="3" type="noConversion"/>
  </si>
  <si>
    <t>연결 현금흐름표</t>
  </si>
  <si>
    <t>영업활동현금흐름</t>
  </si>
  <si>
    <t>　영업활동으로 창출된 현금흐름</t>
  </si>
  <si>
    <t>　법인세납부(환급)</t>
  </si>
  <si>
    <t>　이자지급</t>
  </si>
  <si>
    <t>　이자수취</t>
  </si>
  <si>
    <t>　배당금수취(영업)</t>
  </si>
  <si>
    <t>투자활동현금흐름</t>
  </si>
  <si>
    <t>　유형자산의 취득</t>
  </si>
  <si>
    <t>　유형자산의 처분</t>
  </si>
  <si>
    <t>　무형자산의 취득</t>
  </si>
  <si>
    <t>　무형자산의 처분</t>
  </si>
  <si>
    <t>　금융상품의 감소</t>
  </si>
  <si>
    <t>　금융자산의 취득</t>
  </si>
  <si>
    <t>　금융자산의 처분</t>
  </si>
  <si>
    <t>　보증금의 증가</t>
  </si>
  <si>
    <t>　보증금의 감소</t>
  </si>
  <si>
    <t>　종속기업투자의 취득</t>
  </si>
  <si>
    <t>　대여금의 증가</t>
  </si>
  <si>
    <t>　대여금의 감소</t>
  </si>
  <si>
    <t>　리스순투자의 감소</t>
  </si>
  <si>
    <t>　사용권자산의 증가</t>
  </si>
  <si>
    <t>재무활동현금흐름</t>
  </si>
  <si>
    <t>　배당금지급</t>
  </si>
  <si>
    <t>　비지배지분에 대한 배당금 지급</t>
  </si>
  <si>
    <t>　차입금의 상환</t>
  </si>
  <si>
    <t>　차입금의 차입</t>
  </si>
  <si>
    <t>　사채의 발행</t>
  </si>
  <si>
    <t>　사채발행비</t>
  </si>
  <si>
    <t>　사채의 상환</t>
  </si>
  <si>
    <t>　기타금융부채의 감소</t>
  </si>
  <si>
    <t>　자기주식의 취득</t>
  </si>
  <si>
    <t>　비지배지분의 변동</t>
  </si>
  <si>
    <t>현금및현금성자산의순증가(감소)</t>
  </si>
  <si>
    <t>기초현금및현금성자산</t>
  </si>
  <si>
    <t>환율변동효과(현금및현금성자산)</t>
  </si>
  <si>
    <t>기말현금및현금성자산</t>
  </si>
  <si>
    <t>(1) 당기 및 전기 중 영업으로부터 창출된 현금의 계산내역은 다음과 같습니다.</t>
  </si>
  <si>
    <t>(단위: 천원)</t>
  </si>
  <si>
    <t>당기</t>
  </si>
  <si>
    <t>전기</t>
  </si>
  <si>
    <t>법인세비용차감전순이익</t>
  </si>
  <si>
    <t>조정</t>
  </si>
  <si>
    <t>  이자비용</t>
  </si>
  <si>
    <t>  외화환산손실</t>
  </si>
  <si>
    <t>  주식보상비용</t>
  </si>
  <si>
    <t>  퇴직급여</t>
  </si>
  <si>
    <t>  감가상각비</t>
  </si>
  <si>
    <t>  무형자산상각비</t>
  </si>
  <si>
    <t>  유형자산처분손익</t>
  </si>
  <si>
    <t>  무형자산처분손익</t>
  </si>
  <si>
    <t>8,007 </t>
  </si>
  <si>
    <t>  무형자산손상차손</t>
  </si>
  <si>
    <t>-</t>
  </si>
  <si>
    <t>5,046,941 </t>
  </si>
  <si>
    <t>  매출채권매각손실</t>
  </si>
  <si>
    <t>  대손상각비</t>
  </si>
  <si>
    <t> 파생상품평가손익</t>
  </si>
  <si>
    <t>4,116,797 </t>
  </si>
  <si>
    <t>  당기손익-공정가치측정금융상품 평가손익</t>
  </si>
  <si>
    <t>  관계기업에대한지분법손익</t>
  </si>
  <si>
    <t>  차입금조기상환손실</t>
  </si>
  <si>
    <t>  이자수익</t>
  </si>
  <si>
    <t>  배당금수익</t>
  </si>
  <si>
    <t>  외화환산이익</t>
  </si>
  <si>
    <t>  매출채권의 증감</t>
  </si>
  <si>
    <t>  미수금의 증감</t>
  </si>
  <si>
    <t>  선급금의 증감</t>
  </si>
  <si>
    <t>  선급비용의 증감</t>
  </si>
  <si>
    <t>  부가세선급금의 증감</t>
  </si>
  <si>
    <t>  재고자산의 증감</t>
  </si>
  <si>
    <t>  계약자산의 증감</t>
  </si>
  <si>
    <t>  매입채무의 증감</t>
  </si>
  <si>
    <t>  미지급금의 증감</t>
  </si>
  <si>
    <t>  미지급비용의 증감</t>
  </si>
  <si>
    <t>  예수금의 증감</t>
  </si>
  <si>
    <t>  부가세예수금의 증감</t>
  </si>
  <si>
    <t>  예수보증금의 증감</t>
  </si>
  <si>
    <t>  반품충당부채의 증감</t>
  </si>
  <si>
    <t>  반환제품회수권의 증감</t>
  </si>
  <si>
    <t>  판매보증충당부채의 증감</t>
  </si>
  <si>
    <t>  선수금의 증감</t>
  </si>
  <si>
    <t>  퇴직금의 지급</t>
  </si>
  <si>
    <t>  사외적립자산의 증감</t>
  </si>
  <si>
    <t>  파생상품의 증감</t>
  </si>
  <si>
    <t>  기타</t>
  </si>
  <si>
    <t>영업으로부터 창출된 현금흐름</t>
  </si>
  <si>
    <r>
      <t>24. 영업으로부터 창출된 현금 </t>
    </r>
    <r>
      <rPr>
        <sz val="12"/>
        <color rgb="FF000000"/>
        <rFont val="바탕"/>
        <family val="1"/>
        <charset val="129"/>
      </rPr>
      <t> </t>
    </r>
  </si>
  <si>
    <t>당분기 및 전분기 중 영업으로부터 창출된 현금의 계산내역은 다음과 같습니다.</t>
  </si>
  <si>
    <t>당분기</t>
  </si>
  <si>
    <t>전분기</t>
  </si>
  <si>
    <t>  파생상품손익</t>
  </si>
  <si>
    <t>  기타금융자산평가손익</t>
  </si>
  <si>
    <t>  이연매출의 증감</t>
  </si>
  <si>
    <t>24. 영업으로부터 창출된 현금</t>
  </si>
  <si>
    <t>당반기 및 전반기 중 영업으로부터 창출된 현금의 계산내역은 다음과 같습니다.</t>
  </si>
  <si>
    <t>당반기</t>
  </si>
  <si>
    <t>전반기</t>
  </si>
  <si>
    <t>  대손상각비(대손충당금환입)</t>
  </si>
  <si>
    <t>  사외적립자산의 적립</t>
  </si>
  <si>
    <t>24. 영업으로부터 창출된 현금 :</t>
  </si>
  <si>
    <t>분기 및 전분기 중 발생한 금융손익의 상세내역은 다음과 같습니다.</t>
  </si>
  <si>
    <t>금융수익 :</t>
  </si>
  <si>
    <t> 이자수익</t>
  </si>
  <si>
    <t> 배당금수익</t>
  </si>
  <si>
    <t> 외환차익</t>
  </si>
  <si>
    <t> 외화환산이익</t>
  </si>
  <si>
    <t> 통화선도거래이익</t>
  </si>
  <si>
    <t> 통화선도거래평가이익</t>
  </si>
  <si>
    <t> 파생금융상품평가이익</t>
  </si>
  <si>
    <t> 파생금융상품거래이익</t>
  </si>
  <si>
    <t> 금융자산평가이익</t>
  </si>
  <si>
    <t>금융수익 계</t>
  </si>
  <si>
    <t>금융비용 :</t>
  </si>
  <si>
    <t> 이자비용</t>
  </si>
  <si>
    <t> 외환차손</t>
  </si>
  <si>
    <t> 외화환산손실</t>
  </si>
  <si>
    <t> 금융자산평가손실</t>
  </si>
  <si>
    <t> 기타</t>
  </si>
  <si>
    <t>금융비용 계</t>
  </si>
  <si>
    <t>Cash ratio: Cash and cash equivalent / Current liabilities</t>
    <phoneticPr fontId="3" type="noConversion"/>
  </si>
  <si>
    <t>배당성향: 배당금 총액 / 지배주주지분 당기순이익</t>
    <phoneticPr fontId="3" type="noConversion"/>
  </si>
  <si>
    <t>Dividend yield: Dividend per share / Share price</t>
    <phoneticPr fontId="3" type="noConversion"/>
  </si>
  <si>
    <t>FY18 May. 5-for-1 stock split</t>
    <phoneticPr fontId="3" type="noConversion"/>
  </si>
  <si>
    <r>
      <t>(KRW mn)</t>
    </r>
    <r>
      <rPr>
        <b/>
        <sz val="8"/>
        <color rgb="FF000000"/>
        <rFont val="맑은 고딕"/>
        <family val="3"/>
        <charset val="129"/>
      </rPr>
      <t>　</t>
    </r>
    <phoneticPr fontId="65" type="noConversion"/>
  </si>
  <si>
    <t>매출원가</t>
    <phoneticPr fontId="3" type="noConversion"/>
  </si>
  <si>
    <t>Return</t>
    <phoneticPr fontId="3" type="noConversion"/>
  </si>
  <si>
    <r>
      <rPr>
        <sz val="10"/>
        <color theme="1"/>
        <rFont val="돋움"/>
        <family val="3"/>
        <charset val="129"/>
      </rPr>
      <t>지난</t>
    </r>
    <r>
      <rPr>
        <sz val="10"/>
        <color theme="1"/>
        <rFont val="Calibri"/>
        <family val="2"/>
      </rPr>
      <t xml:space="preserve"> 4</t>
    </r>
    <r>
      <rPr>
        <sz val="10"/>
        <color theme="1"/>
        <rFont val="돋움"/>
        <family val="3"/>
        <charset val="129"/>
      </rPr>
      <t>개분기</t>
    </r>
    <phoneticPr fontId="3" type="noConversion"/>
  </si>
  <si>
    <t>Asset &amp; Equity</t>
    <phoneticPr fontId="3" type="noConversion"/>
  </si>
  <si>
    <t>분기말</t>
    <phoneticPr fontId="3" type="noConversion"/>
  </si>
  <si>
    <t>Asset</t>
    <phoneticPr fontId="3" type="noConversion"/>
  </si>
  <si>
    <t>Equity</t>
    <phoneticPr fontId="3" type="noConversion"/>
  </si>
  <si>
    <t>ROA: 당기순이익 / 평균 자산총계</t>
    <phoneticPr fontId="3" type="noConversion"/>
  </si>
  <si>
    <t>ROA: Profit for the year / avg. total assets</t>
    <phoneticPr fontId="3" type="noConversion"/>
  </si>
  <si>
    <t>ROE: 당기순이익 / 평균 자본총계</t>
    <phoneticPr fontId="3" type="noConversion"/>
  </si>
  <si>
    <t>ROE: Profit for the year / avg. total equity</t>
    <phoneticPr fontId="3" type="noConversion"/>
  </si>
  <si>
    <r>
      <t>4</t>
    </r>
    <r>
      <rPr>
        <sz val="10"/>
        <color theme="1"/>
        <rFont val="돋움"/>
        <family val="3"/>
        <charset val="129"/>
      </rPr>
      <t>분기</t>
    </r>
    <r>
      <rPr>
        <sz val="10"/>
        <color theme="1"/>
        <rFont val="Calibri"/>
        <family val="2"/>
      </rPr>
      <t xml:space="preserve"> </t>
    </r>
    <r>
      <rPr>
        <sz val="10"/>
        <color theme="1"/>
        <rFont val="돋움"/>
        <family val="3"/>
        <charset val="129"/>
      </rPr>
      <t>당기순익</t>
    </r>
    <phoneticPr fontId="3" type="noConversion"/>
  </si>
  <si>
    <r>
      <t xml:space="preserve">equity </t>
    </r>
    <r>
      <rPr>
        <sz val="10"/>
        <color theme="1"/>
        <rFont val="돋움"/>
        <family val="3"/>
        <charset val="129"/>
      </rPr>
      <t>평균</t>
    </r>
    <phoneticPr fontId="3" type="noConversion"/>
  </si>
  <si>
    <t>Profit attributable to Owners of the Controlling Company</t>
    <phoneticPr fontId="65" type="noConversion"/>
  </si>
  <si>
    <t>6. Others</t>
    <phoneticPr fontId="65" type="noConversion"/>
  </si>
  <si>
    <t>Interest coverage ratio (x)</t>
    <phoneticPr fontId="3" type="noConversion"/>
  </si>
  <si>
    <t>Consolidated Statements of Comprehensive Income</t>
    <phoneticPr fontId="3" type="noConversion"/>
  </si>
  <si>
    <t xml:space="preserve">Consolidated Statements of Financial Position </t>
    <phoneticPr fontId="3" type="noConversion"/>
  </si>
  <si>
    <t>FY20 Jan. FILA Korea Ltd. changed its name to FILA Holdings Corp., and established a new subsidiary, FILA Korea, via a vertical demerger</t>
    <phoneticPr fontId="3" type="noConversion"/>
  </si>
  <si>
    <t>FY20 1월 사명 FILA Holdings로 변경, FILA Korea 물적분할 신규법인 설립</t>
    <phoneticPr fontId="3" type="noConversion"/>
  </si>
  <si>
    <t>Payout ratio: Dividend / Profit attributable to Owners of the Controlling Company</t>
    <phoneticPr fontId="3" type="noConversion"/>
  </si>
  <si>
    <t>Interest coverage ratio: operating profit / Interest expenses</t>
    <phoneticPr fontId="3" type="noConversion"/>
  </si>
  <si>
    <t>* Payout ratio: Total amount of dividends / Profit attributable to Owners of the Controlling Company</t>
    <phoneticPr fontId="65" type="noConversion"/>
  </si>
  <si>
    <r>
      <t xml:space="preserve">Payout ratio </t>
    </r>
    <r>
      <rPr>
        <b/>
        <vertAlign val="superscript"/>
        <sz val="8"/>
        <color rgb="FF000000"/>
        <rFont val="Arial"/>
        <family val="2"/>
      </rPr>
      <t>*</t>
    </r>
    <phoneticPr fontId="65" type="noConversion"/>
  </si>
  <si>
    <r>
      <rPr>
        <b/>
        <sz val="7"/>
        <color theme="1"/>
        <rFont val="Times New Roman"/>
        <family val="1"/>
      </rPr>
      <t>Disclaimer</t>
    </r>
    <r>
      <rPr>
        <b/>
        <sz val="7"/>
        <color theme="1"/>
        <rFont val="Calibri"/>
        <family val="2"/>
      </rPr>
      <t xml:space="preserve">
</t>
    </r>
    <r>
      <rPr>
        <sz val="7"/>
        <color theme="1"/>
        <rFont val="굴림"/>
        <family val="3"/>
        <charset val="129"/>
      </rPr>
      <t xml:space="preserve">본 자료의 실적은 투자자 여러분들의 편의를 위하여 작성된 자료로서,  내용 중 일부는 외부감사 결과에 따라 변동될 수 있음을 양지하시기 바랍니다. 
본 자료는 투자자 여러분의 투자판단을 위한 참고자료로 작성된 것이며,  당사는 이 자료의 내용에 대하여 투자자 여러분에게 어떠한 보증을 제공하거나 책임을 부담하지 않습니다. 또한 당사는 투자자 여러분의 투자가 자신의 독단적이고 독립적인 판단에 의하여 이루어질 것으로 신뢰합니다. 
본 자료의 재무자료는 K-IFRS 연결 기준입니다. </t>
    </r>
    <r>
      <rPr>
        <sz val="7"/>
        <color theme="1"/>
        <rFont val="Calibri"/>
        <family val="2"/>
      </rPr>
      <t xml:space="preserve">
</t>
    </r>
    <r>
      <rPr>
        <sz val="7"/>
        <color theme="1"/>
        <rFont val="Times New Roman"/>
        <family val="1"/>
      </rPr>
      <t xml:space="preserve">The financial information and statements included in the following presentation are unaudited and are presented here today solely for the purpose of helping investors better understand the current status of FILA Holdings Corporation and its subsidiaries. Part of the presentation is subject to change during the financial audit by an external independent auditor. 
Also, the information described in this document contains “forward-looking statements”, and such forward-looking statements are made based on management’s current expectations, beliefs, plans, and assumptions based on information currently available to the management. These forward-looking statements relate to future events and address our expected future business condition and financial performance, and often contain words such as target, forecast, prospective, proceed, plan, strategy. Moreover, forward-looking statements contain risks and uncertainties, do not guarantee future performance, and are subject to change. Please note that forward-looking statements may differ from actual results depending on changes in economic status, market trends and tax and the other systems. 
The financial information included in this document is in accordance with Korean IFRS.
</t>
    </r>
    <phoneticPr fontId="3" type="noConversion"/>
  </si>
  <si>
    <t>Total (Adjusted*)</t>
    <phoneticPr fontId="65" type="noConversion"/>
  </si>
  <si>
    <t>* Intercompany transactions are excluded</t>
    <phoneticPr fontId="65" type="noConversion"/>
  </si>
  <si>
    <t>EBITDA: Operating profit + Depreciation</t>
    <phoneticPr fontId="3" type="noConversion"/>
  </si>
  <si>
    <t>* US-GAAP basis</t>
    <phoneticPr fontId="65" type="noConversion"/>
  </si>
  <si>
    <t>Others: Service, Royalty, Retail</t>
    <phoneticPr fontId="65" type="noConversion"/>
  </si>
  <si>
    <t>Others: Service, Royalty</t>
    <phoneticPr fontId="65" type="noConversion"/>
  </si>
  <si>
    <t>Debt to equity ratio (%)</t>
    <phoneticPr fontId="3" type="noConversion"/>
  </si>
  <si>
    <t>Net Debt to equity ratio (%)</t>
    <phoneticPr fontId="3" type="noConversion"/>
  </si>
  <si>
    <t>Debt to equity ratio: Total liabiilities / Total equity</t>
    <phoneticPr fontId="3" type="noConversion"/>
  </si>
  <si>
    <t>Net debt to equity ratio: Net Debt / Total equity</t>
    <phoneticPr fontId="3" type="noConversion"/>
  </si>
  <si>
    <t>유동비율(%): 유동자산 / 유동부채</t>
    <phoneticPr fontId="3" type="noConversion"/>
  </si>
  <si>
    <t>1) Statements of P&amp;L (KRW)</t>
    <phoneticPr fontId="65" type="noConversion"/>
  </si>
  <si>
    <t>2) Statements of P&amp;L (USD)</t>
    <phoneticPr fontId="65" type="noConversion"/>
  </si>
  <si>
    <t>1) Global Royalty Summary (KRW)</t>
    <phoneticPr fontId="65" type="noConversion"/>
  </si>
  <si>
    <t>2) Global Royalty Summary (USD)</t>
    <phoneticPr fontId="65" type="noConversion"/>
  </si>
  <si>
    <t>5. Acushnet</t>
    <phoneticPr fontId="3" type="noConversion"/>
  </si>
  <si>
    <t>EDGAR 공시 기준</t>
    <phoneticPr fontId="3" type="noConversion"/>
  </si>
  <si>
    <t>1. Consolidated P&amp;L summary</t>
  </si>
  <si>
    <t>이사회자료 기준(IFRS conversion)</t>
    <phoneticPr fontId="3" type="noConversion"/>
  </si>
  <si>
    <t xml:space="preserve">2-3) </t>
    <phoneticPr fontId="3" type="noConversion"/>
  </si>
  <si>
    <t>2-4)</t>
    <phoneticPr fontId="3" type="noConversion"/>
  </si>
  <si>
    <t>Net income</t>
    <phoneticPr fontId="65" type="noConversion"/>
  </si>
  <si>
    <t>GPM%</t>
    <phoneticPr fontId="65" type="noConversion"/>
  </si>
  <si>
    <t>OPM%</t>
    <phoneticPr fontId="65" type="noConversion"/>
  </si>
  <si>
    <t>Design Service Fee Income (DSF)</t>
    <phoneticPr fontId="65" type="noConversion"/>
  </si>
  <si>
    <t>FILA Korea (excl. DSF)</t>
    <phoneticPr fontId="65" type="noConversion"/>
  </si>
  <si>
    <t>2) Design Service Fee Income</t>
    <phoneticPr fontId="65" type="noConversion"/>
  </si>
  <si>
    <t>(USD K)</t>
    <phoneticPr fontId="65" type="noConversion"/>
  </si>
  <si>
    <t>Design Service Fee Income</t>
    <phoneticPr fontId="65" type="noConversion"/>
  </si>
  <si>
    <t>* 3% of JV’s revenue is recognized as Design Service Fee Income to FILA Korea.</t>
    <phoneticPr fontId="65" type="noConversion"/>
  </si>
  <si>
    <t>1) Statements of P&amp;L</t>
    <phoneticPr fontId="65" type="noConversion"/>
  </si>
  <si>
    <t>FY19</t>
    <phoneticPr fontId="65" type="noConversion"/>
  </si>
  <si>
    <t>FY19</t>
    <phoneticPr fontId="3" type="noConversion"/>
  </si>
  <si>
    <t>FY18</t>
    <phoneticPr fontId="3" type="noConversion"/>
  </si>
  <si>
    <t>FY20</t>
    <phoneticPr fontId="3" type="noConversion"/>
  </si>
  <si>
    <t>FY21</t>
    <phoneticPr fontId="3" type="noConversion"/>
  </si>
  <si>
    <t>FY20</t>
    <phoneticPr fontId="65" type="noConversion"/>
  </si>
  <si>
    <t>FY21</t>
    <phoneticPr fontId="65" type="noConversion"/>
  </si>
  <si>
    <t>FY17</t>
    <phoneticPr fontId="65" type="noConversion"/>
  </si>
  <si>
    <t>FY18</t>
    <phoneticPr fontId="65" type="noConversion"/>
  </si>
  <si>
    <t>n/a</t>
    <phoneticPr fontId="65" type="noConversion"/>
  </si>
  <si>
    <t>EBITDA (십억원)</t>
    <phoneticPr fontId="3" type="noConversion"/>
  </si>
  <si>
    <t>EBITDA (KRW bn)</t>
    <phoneticPr fontId="3" type="noConversion"/>
  </si>
  <si>
    <t>(Non-GAAP financial measures)</t>
    <phoneticPr fontId="3" type="noConversion"/>
  </si>
  <si>
    <t>(K-IFRS basis)</t>
    <phoneticPr fontId="3" type="noConversion"/>
  </si>
  <si>
    <t>분 기 연 결 재 무 상 태 표</t>
  </si>
  <si>
    <t> 제 33 기  1분기  2022년 03월 31일 현재</t>
  </si>
  <si>
    <t>제 32 기           2021년 12월 31일 현재</t>
  </si>
  <si>
    <t>주식회사 휠라홀딩스와 그 종속기업</t>
  </si>
  <si>
    <t>(단위: 원)</t>
  </si>
  <si>
    <t>과목</t>
  </si>
  <si>
    <t>주석</t>
  </si>
  <si>
    <t>제33기 1분기말</t>
  </si>
  <si>
    <t> 제 32기 기말</t>
  </si>
  <si>
    <t>자                        산</t>
  </si>
  <si>
    <t>Ⅰ. 유동자산</t>
  </si>
  <si>
    <t>   현금및현금성자산</t>
  </si>
  <si>
    <t>4,5</t>
  </si>
  <si>
    <t>   매출채권및기타채권</t>
  </si>
  <si>
    <t>4,5,7</t>
  </si>
  <si>
    <t>   재고자산</t>
  </si>
  <si>
    <t>   기타금융자산</t>
  </si>
  <si>
    <t>   당기손익-공정가치 측정 금융자산</t>
  </si>
  <si>
    <t>4,5,6</t>
  </si>
  <si>
    <t>   파생금융자산</t>
  </si>
  <si>
    <t>   당기법인세자산</t>
  </si>
  <si>
    <t>   기타유동자산</t>
  </si>
  <si>
    <t>Ⅱ. 비유동자산</t>
  </si>
  <si>
    <t>   유형자산</t>
  </si>
  <si>
    <t>   무형자산</t>
  </si>
  <si>
    <t>   관계기업투자</t>
  </si>
  <si>
    <t>   기타포괄손익-공정가치 측정 금융자산</t>
  </si>
  <si>
    <t>   이연법인세자산</t>
  </si>
  <si>
    <t>   기타비유동자산</t>
  </si>
  <si>
    <t>자        산        총       계</t>
  </si>
  <si>
    <t>부                        채</t>
  </si>
  <si>
    <t>Ⅰ. 유동부채</t>
  </si>
  <si>
    <t>   매입채무및기타채무</t>
  </si>
  <si>
    <t>4,5,11,12</t>
  </si>
  <si>
    <t>   차입금</t>
  </si>
  <si>
    <t>4,5,12</t>
  </si>
  <si>
    <t>   기타금융부채</t>
  </si>
  <si>
    <t>   파생금융부채</t>
  </si>
  <si>
    <t>   당기손익-공정가치 측정 금융부채</t>
  </si>
  <si>
    <t>4,5,6,12</t>
  </si>
  <si>
    <t>   기타유동부채</t>
  </si>
  <si>
    <t>   계약부채</t>
  </si>
  <si>
    <t>   충당부채</t>
  </si>
  <si>
    <t>   당기법인세부채</t>
  </si>
  <si>
    <t>Ⅱ. 비유동부채</t>
  </si>
  <si>
    <t>   차입금및사채</t>
  </si>
  <si>
    <t>   순확정급여부채</t>
  </si>
  <si>
    <t>   이연법인세부채</t>
  </si>
  <si>
    <t>   기타비유동부채</t>
  </si>
  <si>
    <t>   계약부채 </t>
  </si>
  <si>
    <t>   법인세부채 </t>
  </si>
  <si>
    <t>부        채        총       계</t>
  </si>
  <si>
    <t>자                본</t>
  </si>
  <si>
    <t>Ⅰ. 지배기업의 소유주에게 귀속되는 자본</t>
  </si>
  <si>
    <t>   보통주자본금</t>
  </si>
  <si>
    <t>   자본잉여금</t>
  </si>
  <si>
    <t>   자본조정</t>
  </si>
  <si>
    <t>   기타포괄손익누계액</t>
  </si>
  <si>
    <t>   이익잉여금</t>
  </si>
  <si>
    <t>Ⅱ. 비지배지분</t>
  </si>
  <si>
    <t>자    본    총    계</t>
  </si>
  <si>
    <t>부  채  및  자  본  총  계</t>
  </si>
  <si>
    <t>      별첨 주석은 본 요약분기연결재무제표의 일부입니다.</t>
  </si>
  <si>
    <t>분 기 연 결 포 괄 손 익 계 산 서</t>
  </si>
  <si>
    <t>제33기 1분기 2022년 1월 1일부터 2022년 3월 31일까지</t>
  </si>
  <si>
    <t>제32기 1분기 2021년 1월 1일부터 2021년 3월 31일까지</t>
  </si>
  <si>
    <t>과    목</t>
  </si>
  <si>
    <t>제33기 1분기</t>
  </si>
  <si>
    <t>제32기 1분기</t>
  </si>
  <si>
    <t>I. 매출</t>
  </si>
  <si>
    <t>15,24</t>
  </si>
  <si>
    <t>II. 매출원가</t>
  </si>
  <si>
    <t>III. 매출총이익</t>
  </si>
  <si>
    <t>IV. 판매관리비</t>
  </si>
  <si>
    <t>16,17</t>
  </si>
  <si>
    <t>V. 영업이익</t>
  </si>
  <si>
    <t>VI. 기타수익</t>
  </si>
  <si>
    <t>VII. 기타비용</t>
  </si>
  <si>
    <t>VIII. 금융수익</t>
  </si>
  <si>
    <t>IX. 금융비용</t>
  </si>
  <si>
    <t>X. 지분법이익</t>
  </si>
  <si>
    <t>XI. 법인세비용차감전순이익</t>
  </si>
  <si>
    <t>XII. 법인세비용</t>
  </si>
  <si>
    <t>XIII. 당기순이익</t>
  </si>
  <si>
    <t>XIV. 기타포괄손익:</t>
  </si>
  <si>
    <t>당기손익으로 재분류되지 않는 항목</t>
  </si>
  <si>
    <t>   순확정급여부채의 재측정요소</t>
  </si>
  <si>
    <t> 2,720,582,486</t>
  </si>
  <si>
    <t>후속적으로 당기손익으로 재분류될 수 있는 항목</t>
  </si>
  <si>
    <t>   관계기업에 대한 지분법자본변동</t>
  </si>
  <si>
    <t>   해외사업환산손익</t>
  </si>
  <si>
    <t>   파생금융상품평가손익</t>
  </si>
  <si>
    <t>XV. 분기 세후 기타포괄손익</t>
  </si>
  <si>
    <t>XVI. 분기총포괄손익</t>
  </si>
  <si>
    <t>XVII. 분기순이익 귀속</t>
  </si>
  <si>
    <t>   지배기업소유주지분</t>
  </si>
  <si>
    <t>   비지배지분</t>
  </si>
  <si>
    <t>XVIII. 분기총포괄손익 귀속</t>
  </si>
  <si>
    <t>XIX. 기본 및 희석주당이익</t>
  </si>
  <si>
    <t> 1,265</t>
  </si>
  <si>
    <t>별첨 주석은 본 요약분기연결재무제표의 일부입니다.</t>
  </si>
  <si>
    <t xml:space="preserve"> - Intercompany transactions of Royalty incomes from FILA USA and FILA Korea is an amount of KRW 5bn, and an adjustment for minor subsidiaries is an amount of KRW 4bn in Q1 22</t>
    <phoneticPr fontId="65" type="noConversion"/>
  </si>
  <si>
    <t>언어/Language</t>
  </si>
  <si>
    <t>무형자산상각비</t>
    <phoneticPr fontId="3" type="noConversion"/>
  </si>
  <si>
    <t>누적이므로 전분기 차감</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</si>
</sst>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176" formatCode="#,##0_);\(#,##0\)"/>
    <numFmt numFmtId="177" formatCode="#,##0.0_);\(#,##0.0\)"/>
    <numFmt numFmtId="178" formatCode="#,##0_);[Red]\(#,##0\)"/>
    <numFmt numFmtId="179" formatCode="mmm\ dd"/>
    <numFmt numFmtId="180" formatCode="#,##0.0_);[Red]\(#,##0.0\)"/>
    <numFmt numFmtId="181" formatCode="0.0%;[Red]\(0.0%\)"/>
    <numFmt numFmtId="182" formatCode="#,##0,_);\(#,##0,\)"/>
    <numFmt numFmtId="183" formatCode="0.0%"/>
    <numFmt numFmtId="184" formatCode="#,##0.00_);\(#,##0.00\)"/>
    <numFmt numFmtId="185" formatCode="0.0%\p;[Red]\(0.0%\p\)"/>
  </numFmts>
  <fonts count="97">
    <font>
      <sz val="11"/>
      <color theme="1"/>
      <name val="맑은 고딕"/>
      <family val="2"/>
      <charset val="129"/>
      <scheme val="minor"/>
    </font>
    <font>
      <sz val="11"/>
      <color theme="1"/>
      <name val="맑은 고딕"/>
      <family val="2"/>
      <charset val="129"/>
    </font>
    <font>
      <sz val="10"/>
      <color theme="1"/>
      <name val="맑은 고딕"/>
      <family val="2"/>
      <charset val="129"/>
    </font>
    <font>
      <sz val="8"/>
      <name val="맑은 고딕"/>
      <family val="2"/>
      <charset val="129"/>
      <scheme val="minor"/>
    </font>
    <font>
      <sz val="11"/>
      <color theme="1"/>
      <name val="맑은 고딕"/>
      <family val="2"/>
      <charset val="129"/>
      <scheme val="minor"/>
    </font>
    <font>
      <sz val="10"/>
      <color theme="1"/>
      <name val="Calibri"/>
      <family val="2"/>
    </font>
    <font>
      <sz val="9"/>
      <color theme="1"/>
      <name val="Calibri"/>
      <family val="2"/>
    </font>
    <font>
      <b/>
      <sz val="10"/>
      <color theme="1"/>
      <name val="Calibri"/>
      <family val="2"/>
    </font>
    <font>
      <sz val="10"/>
      <name val="Calibri"/>
      <family val="2"/>
    </font>
    <font>
      <sz val="11"/>
      <color theme="1"/>
      <name val="Calibri"/>
      <family val="2"/>
    </font>
    <font>
      <b/>
      <sz val="14"/>
      <color theme="1"/>
      <name val="Calibri"/>
      <family val="2"/>
    </font>
    <font>
      <b/>
      <sz val="10"/>
      <name val="Calibri"/>
      <family val="2"/>
    </font>
    <font>
      <b/>
      <sz val="9"/>
      <name val="Calibri"/>
      <family val="2"/>
    </font>
    <font>
      <b/>
      <sz val="11"/>
      <name val="Calibri"/>
      <family val="2"/>
    </font>
    <font>
      <sz val="11"/>
      <color theme="1"/>
      <name val="SMTOWN(OTF)"/>
      <family val="3"/>
    </font>
    <font>
      <sz val="36"/>
      <color theme="1"/>
      <name val="SMTOWN(OTF) Bold"/>
      <family val="3"/>
    </font>
    <font>
      <b/>
      <sz val="28"/>
      <color rgb="FF000000"/>
      <name val="SMTOWN(OTF) Bold"/>
      <family val="3"/>
    </font>
    <font>
      <b/>
      <sz val="11"/>
      <color theme="1"/>
      <name val="맑은 고딕"/>
      <family val="3"/>
      <charset val="129"/>
      <scheme val="minor"/>
    </font>
    <font>
      <b/>
      <sz val="8"/>
      <name val="Calibri"/>
      <family val="2"/>
    </font>
    <font>
      <b/>
      <sz val="8"/>
      <color theme="1"/>
      <name val="Calibri"/>
      <family val="2"/>
    </font>
    <font>
      <sz val="14"/>
      <color rgb="FF000000"/>
      <name val="Calibri"/>
      <family val="2"/>
    </font>
    <font>
      <sz val="9"/>
      <color theme="1"/>
      <name val="맑은 고딕"/>
      <family val="3"/>
      <charset val="129"/>
      <scheme val="minor"/>
    </font>
    <font>
      <sz val="7"/>
      <color theme="1"/>
      <name val="Calibri"/>
      <family val="2"/>
    </font>
    <font>
      <b/>
      <sz val="7"/>
      <color theme="1"/>
      <name val="Calibri"/>
      <family val="2"/>
    </font>
    <font>
      <b/>
      <sz val="10"/>
      <color theme="1"/>
      <name val="맑은 고딕"/>
      <family val="3"/>
      <charset val="129"/>
      <scheme val="minor"/>
    </font>
    <font>
      <b/>
      <u/>
      <sz val="8"/>
      <color theme="1"/>
      <name val="Calibri"/>
      <family val="2"/>
    </font>
    <font>
      <b/>
      <u/>
      <sz val="8"/>
      <name val="Calibri"/>
      <family val="2"/>
    </font>
    <font>
      <b/>
      <sz val="9"/>
      <name val="맑은 고딕"/>
      <family val="3"/>
      <charset val="129"/>
      <scheme val="minor"/>
    </font>
    <font>
      <sz val="9"/>
      <name val="맑은 고딕"/>
      <family val="3"/>
      <charset val="129"/>
      <scheme val="minor"/>
    </font>
    <font>
      <b/>
      <sz val="16"/>
      <color theme="1"/>
      <name val="Calibri"/>
      <family val="2"/>
    </font>
    <font>
      <b/>
      <u/>
      <sz val="9"/>
      <color theme="1"/>
      <name val="맑은 고딕"/>
      <family val="3"/>
      <charset val="129"/>
      <scheme val="minor"/>
    </font>
    <font>
      <u/>
      <sz val="9"/>
      <color theme="1"/>
      <name val="맑은 고딕"/>
      <family val="3"/>
      <charset val="129"/>
      <scheme val="minor"/>
    </font>
    <font>
      <sz val="10"/>
      <color theme="1"/>
      <name val="나눔바른고딕"/>
      <family val="2"/>
      <charset val="129"/>
    </font>
    <font>
      <sz val="7"/>
      <color theme="1"/>
      <name val="굴림"/>
      <family val="3"/>
      <charset val="129"/>
    </font>
    <font>
      <sz val="7"/>
      <color theme="1"/>
      <name val="Times New Roman"/>
      <family val="1"/>
    </font>
    <font>
      <b/>
      <sz val="14"/>
      <color theme="1"/>
      <name val="Arial"/>
      <family val="2"/>
    </font>
    <font>
      <sz val="10"/>
      <color theme="1"/>
      <name val="Arial"/>
      <family val="2"/>
    </font>
    <font>
      <b/>
      <sz val="8"/>
      <name val="Arial"/>
      <family val="2"/>
    </font>
    <font>
      <i/>
      <sz val="9"/>
      <color theme="1"/>
      <name val="Arial"/>
      <family val="2"/>
    </font>
    <font>
      <b/>
      <sz val="12"/>
      <name val="Arial"/>
      <family val="2"/>
    </font>
    <font>
      <b/>
      <sz val="10"/>
      <name val="Arial"/>
      <family val="2"/>
    </font>
    <font>
      <b/>
      <sz val="9"/>
      <name val="Arial"/>
      <family val="2"/>
    </font>
    <font>
      <sz val="10"/>
      <name val="Arial"/>
      <family val="2"/>
    </font>
    <font>
      <sz val="9"/>
      <name val="Arial"/>
      <family val="2"/>
    </font>
    <font>
      <sz val="8"/>
      <name val="Arial"/>
      <family val="2"/>
    </font>
    <font>
      <sz val="11"/>
      <color rgb="FF000000"/>
      <name val="굴림"/>
      <family val="3"/>
      <charset val="129"/>
    </font>
    <font>
      <b/>
      <sz val="12"/>
      <color rgb="FF000000"/>
      <name val="굴림"/>
      <family val="3"/>
      <charset val="129"/>
    </font>
    <font>
      <b/>
      <sz val="10"/>
      <color theme="1"/>
      <name val="돋움"/>
      <family val="3"/>
      <charset val="129"/>
    </font>
    <font>
      <sz val="12"/>
      <color rgb="FF000000"/>
      <name val="바탕"/>
      <family val="1"/>
      <charset val="129"/>
    </font>
    <font>
      <sz val="10"/>
      <color theme="1"/>
      <name val="돋움"/>
      <family val="3"/>
      <charset val="129"/>
    </font>
    <font>
      <sz val="11"/>
      <color theme="1"/>
      <name val="돋움"/>
      <family val="3"/>
      <charset val="129"/>
    </font>
    <font>
      <sz val="9"/>
      <color theme="1"/>
      <name val="맑은 고딕"/>
      <family val="2"/>
      <charset val="129"/>
      <scheme val="minor"/>
    </font>
    <font>
      <sz val="10"/>
      <name val="맑은 고딕"/>
      <family val="3"/>
      <charset val="129"/>
      <scheme val="minor"/>
    </font>
    <font>
      <sz val="9"/>
      <color theme="1"/>
      <name val="맑은 고딕"/>
      <family val="3"/>
      <charset val="129"/>
      <scheme val="major"/>
    </font>
    <font>
      <b/>
      <sz val="9"/>
      <color theme="1"/>
      <name val="맑은 고딕"/>
      <family val="3"/>
      <charset val="129"/>
      <scheme val="major"/>
    </font>
    <font>
      <b/>
      <sz val="10"/>
      <name val="맑은 고딕"/>
      <family val="3"/>
      <charset val="129"/>
      <scheme val="minor"/>
    </font>
    <font>
      <b/>
      <sz val="14"/>
      <color theme="1"/>
      <name val="맑은 고딕"/>
      <family val="3"/>
      <charset val="129"/>
      <scheme val="minor"/>
    </font>
    <font>
      <i/>
      <sz val="9"/>
      <color theme="1"/>
      <name val="맑은 고딕"/>
      <family val="3"/>
      <charset val="129"/>
      <scheme val="minor"/>
    </font>
    <font>
      <b/>
      <sz val="12"/>
      <name val="맑은 고딕"/>
      <family val="3"/>
      <charset val="129"/>
      <scheme val="minor"/>
    </font>
    <font>
      <b/>
      <sz val="11"/>
      <name val="맑은 고딕"/>
      <family val="3"/>
      <charset val="129"/>
      <scheme val="minor"/>
    </font>
    <font>
      <b/>
      <u/>
      <sz val="10"/>
      <name val="맑은 고딕"/>
      <family val="3"/>
      <charset val="129"/>
      <scheme val="minor"/>
    </font>
    <font>
      <sz val="11"/>
      <color theme="1"/>
      <name val="맑은 고딕"/>
      <family val="3"/>
      <charset val="129"/>
      <scheme val="minor"/>
    </font>
    <font>
      <b/>
      <u/>
      <sz val="8"/>
      <color theme="1"/>
      <name val="맑은 고딕"/>
      <family val="3"/>
      <charset val="129"/>
      <scheme val="minor"/>
    </font>
    <font>
      <b/>
      <sz val="11"/>
      <color rgb="FF000000"/>
      <name val="굴림"/>
      <family val="3"/>
      <charset val="129"/>
    </font>
    <font>
      <b/>
      <u/>
      <sz val="8"/>
      <name val="Arial"/>
      <family val="2"/>
    </font>
    <font>
      <sz val="8"/>
      <name val="맑은 고딕"/>
      <family val="2"/>
      <charset val="129"/>
    </font>
    <font>
      <b/>
      <sz val="8"/>
      <color theme="1"/>
      <name val="Arial"/>
      <family val="2"/>
    </font>
    <font>
      <b/>
      <sz val="9"/>
      <color theme="1"/>
      <name val="Arial"/>
      <family val="2"/>
    </font>
    <font>
      <b/>
      <sz val="10"/>
      <color theme="1"/>
      <name val="Arial"/>
      <family val="2"/>
    </font>
    <font>
      <sz val="9"/>
      <color theme="1"/>
      <name val="Arial"/>
      <family val="2"/>
    </font>
    <font>
      <sz val="8"/>
      <color theme="1"/>
      <name val="Arial"/>
      <family val="2"/>
    </font>
    <font>
      <sz val="11"/>
      <color theme="1"/>
      <name val="Arial"/>
      <family val="2"/>
    </font>
    <font>
      <sz val="12"/>
      <color theme="1"/>
      <name val="Arial"/>
      <family val="2"/>
    </font>
    <font>
      <sz val="9"/>
      <color rgb="FF000000"/>
      <name val="Arial"/>
      <family val="2"/>
    </font>
    <font>
      <b/>
      <sz val="9"/>
      <color rgb="FF000000"/>
      <name val="맑은 고딕"/>
      <family val="3"/>
      <charset val="129"/>
    </font>
    <font>
      <b/>
      <sz val="9"/>
      <color rgb="FF000000"/>
      <name val="Arial"/>
      <family val="2"/>
    </font>
    <font>
      <sz val="8"/>
      <color theme="1"/>
      <name val="맑은 고딕"/>
      <family val="2"/>
      <charset val="129"/>
      <scheme val="minor"/>
    </font>
    <font>
      <sz val="10"/>
      <color theme="1"/>
      <name val="맑은 고딕"/>
      <family val="2"/>
      <charset val="129"/>
      <scheme val="minor"/>
    </font>
    <font>
      <b/>
      <sz val="8"/>
      <color rgb="FF000000"/>
      <name val="Arial"/>
      <family val="2"/>
    </font>
    <font>
      <sz val="8"/>
      <color rgb="FF000000"/>
      <name val="Arial"/>
      <family val="2"/>
    </font>
    <font>
      <sz val="11"/>
      <color indexed="8"/>
      <name val="맑은 고딕"/>
      <family val="3"/>
      <charset val="129"/>
    </font>
    <font>
      <i/>
      <sz val="8"/>
      <color rgb="FF000000"/>
      <name val="Arial"/>
      <family val="2"/>
    </font>
    <font>
      <b/>
      <sz val="7"/>
      <color theme="1"/>
      <name val="Times New Roman"/>
      <family val="1"/>
    </font>
    <font>
      <sz val="10"/>
      <color rgb="FFFF0000"/>
      <name val="Calibri"/>
      <family val="2"/>
    </font>
    <font>
      <sz val="10"/>
      <color rgb="FFFF0000"/>
      <name val="돋움"/>
      <family val="3"/>
      <charset val="129"/>
    </font>
    <font>
      <sz val="6"/>
      <color rgb="FF000000"/>
      <name val="굴림"/>
      <family val="3"/>
      <charset val="129"/>
    </font>
    <font>
      <sz val="8"/>
      <color theme="1"/>
      <name val="Calibri"/>
      <family val="2"/>
    </font>
    <font>
      <sz val="8"/>
      <color rgb="FF000000"/>
      <name val="굴림"/>
      <family val="3"/>
      <charset val="129"/>
    </font>
    <font>
      <b/>
      <sz val="12"/>
      <color rgb="FF000000"/>
      <name val="바탕"/>
      <family val="1"/>
      <charset val="129"/>
    </font>
    <font>
      <b/>
      <sz val="8"/>
      <color rgb="FF000000"/>
      <name val="맑은 고딕"/>
      <family val="3"/>
      <charset val="129"/>
    </font>
    <font>
      <sz val="12"/>
      <color theme="1"/>
      <name val="돋움"/>
      <family val="3"/>
      <charset val="129"/>
    </font>
    <font>
      <b/>
      <sz val="11"/>
      <color theme="0"/>
      <name val="Arial"/>
      <family val="2"/>
    </font>
    <font>
      <sz val="12"/>
      <color theme="0"/>
      <name val="Arial"/>
      <family val="2"/>
    </font>
    <font>
      <b/>
      <vertAlign val="superscript"/>
      <sz val="8"/>
      <color rgb="FF000000"/>
      <name val="Arial"/>
      <family val="2"/>
    </font>
    <font>
      <b/>
      <sz val="8"/>
      <color theme="1"/>
      <name val="맑은 고딕"/>
      <family val="3"/>
      <charset val="129"/>
      <scheme val="minor"/>
    </font>
    <font>
      <b/>
      <sz val="10"/>
      <color indexed="9"/>
      <name val="Arial"/>
      <family val="2"/>
    </font>
    <font>
      <sz val="6"/>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E9EAED"/>
        <bgColor indexed="64"/>
      </patternFill>
    </fill>
    <fill>
      <patternFill patternType="solid">
        <fgColor rgb="FFDCDCDC"/>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BDD7EE"/>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2965"/>
        <bgColor indexed="64"/>
      </patternFill>
    </fill>
    <fill>
      <patternFill patternType="solid">
        <fgColor rgb="FF4F81BD"/>
        <bgColor indexed="64"/>
      </patternFill>
    </fill>
  </fills>
  <borders count="46">
    <border>
      <left/>
      <right/>
      <top/>
      <bottom/>
      <diagonal/>
    </border>
    <border>
      <left/>
      <right/>
      <top style="hair">
        <color theme="1" tint="0.499984740745262"/>
      </top>
      <bottom style="hair">
        <color theme="1" tint="0.499984740745262"/>
      </bottom>
      <diagonal/>
    </border>
    <border>
      <left/>
      <right/>
      <top/>
      <bottom style="hair">
        <color theme="1" tint="0.499984740745262"/>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hair">
        <color theme="1" tint="0.499984740745262"/>
      </top>
      <bottom style="thin">
        <color indexed="64"/>
      </bottom>
      <diagonal/>
    </border>
    <border>
      <left/>
      <right/>
      <top style="medium">
        <color indexed="64"/>
      </top>
      <bottom style="hair">
        <color theme="1" tint="0.499984740745262"/>
      </bottom>
      <diagonal/>
    </border>
    <border>
      <left/>
      <right/>
      <top style="hair">
        <color theme="1" tint="0.499984740745262"/>
      </top>
      <bottom style="medium">
        <color indexed="64"/>
      </bottom>
      <diagonal/>
    </border>
    <border>
      <left/>
      <right/>
      <top style="hair">
        <color auto="1"/>
      </top>
      <bottom style="hair">
        <color auto="1"/>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808080"/>
      </right>
      <top style="thin">
        <color rgb="FF000000"/>
      </top>
      <bottom/>
      <diagonal/>
    </border>
    <border>
      <left style="thin">
        <color rgb="FF808080"/>
      </left>
      <right/>
      <top style="thin">
        <color rgb="FF000000"/>
      </top>
      <bottom style="thin">
        <color rgb="FF808080"/>
      </bottom>
      <diagonal/>
    </border>
    <border>
      <left/>
      <right style="thin">
        <color rgb="FF808080"/>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style="thin">
        <color rgb="FF808080"/>
      </right>
      <top/>
      <bottom style="thin">
        <color rgb="FF808080"/>
      </bottom>
      <diagonal/>
    </border>
    <border>
      <left style="thin">
        <color rgb="FF80808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rgb="FF000000"/>
      </left>
      <right style="thin">
        <color rgb="FF80808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n">
        <color rgb="FF000000"/>
      </right>
      <top style="thin">
        <color rgb="FF808080"/>
      </top>
      <bottom style="thin">
        <color rgb="FF000000"/>
      </bottom>
      <diagonal/>
    </border>
    <border>
      <left style="thin">
        <color rgb="FF000000"/>
      </left>
      <right style="thin">
        <color rgb="FF808080"/>
      </right>
      <top style="thin">
        <color rgb="FF000000"/>
      </top>
      <bottom style="thin">
        <color rgb="FF808080"/>
      </bottom>
      <diagonal/>
    </border>
    <border>
      <left style="thin">
        <color rgb="FF808080"/>
      </left>
      <right style="thin">
        <color rgb="FF808080"/>
      </right>
      <top style="thin">
        <color rgb="FF000000"/>
      </top>
      <bottom style="thin">
        <color rgb="FF808080"/>
      </bottom>
      <diagonal/>
    </border>
    <border>
      <left style="thin">
        <color rgb="FF808080"/>
      </left>
      <right style="thin">
        <color rgb="FF000000"/>
      </right>
      <top style="thin">
        <color rgb="FF000000"/>
      </top>
      <bottom style="thin">
        <color rgb="FF808080"/>
      </bottom>
      <diagonal/>
    </border>
    <border>
      <left/>
      <right/>
      <top/>
      <bottom style="medium">
        <color indexed="64"/>
      </bottom>
      <diagonal/>
    </border>
    <border>
      <left/>
      <right/>
      <top style="medium">
        <color auto="1"/>
      </top>
      <bottom style="hair">
        <color auto="1"/>
      </bottom>
      <diagonal/>
    </border>
    <border>
      <left/>
      <right/>
      <top style="hair">
        <color auto="1"/>
      </top>
      <bottom style="medium">
        <color auto="1"/>
      </bottom>
      <diagonal/>
    </border>
    <border>
      <left/>
      <right/>
      <top style="thin">
        <color rgb="FF000000"/>
      </top>
      <bottom style="thin">
        <color indexed="64"/>
      </bottom>
      <diagonal/>
    </border>
    <border>
      <left/>
      <right/>
      <top style="thin">
        <color rgb="FF000000"/>
      </top>
      <bottom style="thin">
        <color rgb="FF000000"/>
      </bottom>
      <diagonal/>
    </border>
    <border>
      <left/>
      <right/>
      <top/>
      <bottom style="hair">
        <color indexed="64"/>
      </bottom>
      <diagonal/>
    </border>
    <border>
      <left/>
      <right/>
      <top style="thin">
        <color rgb="FF000000"/>
      </top>
      <bottom style="hair">
        <color indexed="64"/>
      </bottom>
      <diagonal/>
    </border>
    <border>
      <left/>
      <right/>
      <top style="thin">
        <color rgb="FF000000"/>
      </top>
      <bottom style="hair">
        <color rgb="FF000000"/>
      </bottom>
      <diagonal/>
    </border>
    <border>
      <left/>
      <right/>
      <top style="hair">
        <color rgb="FF000000"/>
      </top>
      <bottom style="thin">
        <color rgb="FF000000"/>
      </bottom>
      <diagonal/>
    </border>
    <border>
      <left/>
      <right/>
      <top style="hair">
        <color rgb="FF000000"/>
      </top>
      <bottom style="hair">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2">
    <xf numFmtId="0" fontId="0" fillId="0" borderId="0">
      <alignment vertical="center"/>
    </xf>
    <xf numFmtId="0" fontId="2" fillId="0" borderId="0">
      <alignment vertical="center"/>
    </xf>
    <xf numFmtId="41" fontId="32"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alignment vertical="center"/>
    </xf>
    <xf numFmtId="0" fontId="1" fillId="0" borderId="0">
      <alignment vertical="center"/>
    </xf>
    <xf numFmtId="41" fontId="1" fillId="0" borderId="0" applyFont="0" applyFill="0" applyBorder="0" applyAlignment="0" applyProtection="0">
      <alignment vertical="center"/>
    </xf>
    <xf numFmtId="9" fontId="4" fillId="0" borderId="0" applyFont="0" applyFill="0" applyBorder="0" applyAlignment="0" applyProtection="0">
      <alignment vertical="center"/>
    </xf>
    <xf numFmtId="41" fontId="80" fillId="0" borderId="0" applyFont="0" applyFill="0" applyBorder="0" applyAlignment="0" applyProtection="0">
      <alignment vertical="center"/>
    </xf>
    <xf numFmtId="0" fontId="4" fillId="0" borderId="0">
      <alignment vertical="center"/>
    </xf>
    <xf numFmtId="0" fontId="95" fillId="15" borderId="44">
      <alignment horizontal="right"/>
    </xf>
  </cellStyleXfs>
  <cellXfs count="496">
    <xf numFmtId="0" fontId="0" fillId="0" borderId="0" xfId="0">
      <alignment vertical="center"/>
    </xf>
    <xf numFmtId="0" fontId="5" fillId="0" borderId="0" xfId="0" applyFont="1">
      <alignment vertical="center"/>
    </xf>
    <xf numFmtId="0" fontId="6" fillId="0" borderId="0" xfId="0" applyFont="1">
      <alignment vertical="center"/>
    </xf>
    <xf numFmtId="0" fontId="5" fillId="2" borderId="0" xfId="0" applyFont="1" applyFill="1">
      <alignment vertical="center"/>
    </xf>
    <xf numFmtId="0" fontId="9" fillId="0" borderId="0" xfId="0" applyFont="1">
      <alignment vertical="center"/>
    </xf>
    <xf numFmtId="0" fontId="5" fillId="0" borderId="0" xfId="0" applyFont="1" applyAlignment="1">
      <alignment vertical="center"/>
    </xf>
    <xf numFmtId="0" fontId="5" fillId="0" borderId="0" xfId="0" applyFont="1" applyBorder="1">
      <alignment vertical="center"/>
    </xf>
    <xf numFmtId="0" fontId="0" fillId="2" borderId="0" xfId="0"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pplyAlignment="1">
      <alignment horizontal="left" vertical="center"/>
    </xf>
    <xf numFmtId="0" fontId="10" fillId="2" borderId="0" xfId="0" applyFont="1" applyFill="1">
      <alignment vertical="center"/>
    </xf>
    <xf numFmtId="0" fontId="11" fillId="2" borderId="0" xfId="0" applyFont="1" applyFill="1" applyAlignment="1">
      <alignment horizontal="center" vertical="center"/>
    </xf>
    <xf numFmtId="0" fontId="8" fillId="2" borderId="0" xfId="0" applyFont="1" applyFill="1" applyAlignment="1"/>
    <xf numFmtId="0" fontId="11" fillId="2" borderId="0" xfId="0" applyFont="1" applyFill="1" applyAlignment="1"/>
    <xf numFmtId="0" fontId="12" fillId="2"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176" fontId="5" fillId="2" borderId="9" xfId="0" applyNumberFormat="1" applyFont="1" applyFill="1" applyBorder="1">
      <alignment vertical="center"/>
    </xf>
    <xf numFmtId="176" fontId="8" fillId="2" borderId="0" xfId="0" applyNumberFormat="1" applyFont="1" applyFill="1" applyAlignment="1">
      <alignment vertical="center" wrapText="1"/>
    </xf>
    <xf numFmtId="176" fontId="8" fillId="4" borderId="0" xfId="0" applyNumberFormat="1" applyFont="1" applyFill="1" applyAlignment="1">
      <alignment vertical="center" wrapText="1"/>
    </xf>
    <xf numFmtId="0" fontId="17" fillId="0" borderId="0" xfId="0" applyFont="1">
      <alignment vertical="center"/>
    </xf>
    <xf numFmtId="0" fontId="0" fillId="2" borderId="0" xfId="0" applyFill="1" applyBorder="1">
      <alignment vertical="center"/>
    </xf>
    <xf numFmtId="0" fontId="14" fillId="2" borderId="0" xfId="0" applyFont="1" applyFill="1" applyBorder="1">
      <alignment vertical="center"/>
    </xf>
    <xf numFmtId="0" fontId="20" fillId="2" borderId="0" xfId="0" applyFont="1" applyFill="1" applyAlignment="1">
      <alignment horizontal="left" vertical="center"/>
    </xf>
    <xf numFmtId="178" fontId="8" fillId="2" borderId="2" xfId="0" applyNumberFormat="1" applyFont="1" applyFill="1" applyBorder="1" applyAlignment="1">
      <alignment horizontal="right" vertical="center" wrapText="1"/>
    </xf>
    <xf numFmtId="178" fontId="8" fillId="4" borderId="2" xfId="0" applyNumberFormat="1" applyFont="1" applyFill="1" applyBorder="1" applyAlignment="1">
      <alignment horizontal="right" vertical="center" wrapText="1"/>
    </xf>
    <xf numFmtId="178" fontId="8" fillId="2" borderId="1" xfId="0" applyNumberFormat="1" applyFont="1" applyFill="1" applyBorder="1" applyAlignment="1">
      <alignment horizontal="right" vertical="center" wrapText="1"/>
    </xf>
    <xf numFmtId="178" fontId="8" fillId="4" borderId="1" xfId="0" applyNumberFormat="1" applyFont="1" applyFill="1" applyBorder="1" applyAlignment="1">
      <alignment horizontal="right" vertical="center" wrapText="1"/>
    </xf>
    <xf numFmtId="178" fontId="13" fillId="2" borderId="6" xfId="0" applyNumberFormat="1" applyFont="1" applyFill="1" applyBorder="1" applyAlignment="1">
      <alignment horizontal="right" vertical="center" wrapText="1"/>
    </xf>
    <xf numFmtId="178" fontId="13" fillId="4" borderId="6" xfId="0" applyNumberFormat="1" applyFont="1" applyFill="1" applyBorder="1" applyAlignment="1">
      <alignment horizontal="right" vertical="center" wrapText="1"/>
    </xf>
    <xf numFmtId="178" fontId="8" fillId="2" borderId="0" xfId="0" applyNumberFormat="1" applyFont="1" applyFill="1" applyBorder="1" applyAlignment="1">
      <alignment horizontal="right" vertical="center" wrapText="1"/>
    </xf>
    <xf numFmtId="178" fontId="8" fillId="4" borderId="0" xfId="0" applyNumberFormat="1" applyFont="1" applyFill="1" applyBorder="1" applyAlignment="1">
      <alignment horizontal="right" vertical="center" wrapText="1"/>
    </xf>
    <xf numFmtId="178" fontId="8" fillId="0" borderId="0" xfId="0" applyNumberFormat="1" applyFont="1" applyAlignment="1">
      <alignment vertical="center"/>
    </xf>
    <xf numFmtId="178" fontId="13" fillId="2" borderId="5" xfId="0" applyNumberFormat="1" applyFont="1" applyFill="1" applyBorder="1" applyAlignment="1">
      <alignment horizontal="right" vertical="center" wrapText="1"/>
    </xf>
    <xf numFmtId="0" fontId="0" fillId="2" borderId="0" xfId="0" applyFill="1" applyBorder="1" applyAlignment="1">
      <alignment horizontal="center" vertical="center"/>
    </xf>
    <xf numFmtId="0" fontId="7" fillId="0" borderId="0" xfId="0" applyFont="1" applyBorder="1" applyAlignment="1">
      <alignment horizontal="center" vertical="center" readingOrder="1"/>
    </xf>
    <xf numFmtId="0" fontId="26" fillId="2" borderId="0" xfId="0" applyFont="1" applyFill="1" applyBorder="1" applyAlignment="1">
      <alignment vertical="center"/>
    </xf>
    <xf numFmtId="0" fontId="26" fillId="4" borderId="0" xfId="0" applyFont="1" applyFill="1" applyBorder="1" applyAlignment="1">
      <alignment horizontal="center" vertical="center"/>
    </xf>
    <xf numFmtId="0" fontId="25" fillId="0" borderId="0" xfId="0" applyFont="1" applyBorder="1">
      <alignment vertical="center"/>
    </xf>
    <xf numFmtId="179" fontId="6" fillId="2" borderId="0" xfId="0" applyNumberFormat="1" applyFont="1" applyFill="1" applyBorder="1" applyAlignment="1">
      <alignment horizontal="center" vertical="center" readingOrder="1"/>
    </xf>
    <xf numFmtId="179" fontId="6" fillId="4" borderId="0" xfId="0" applyNumberFormat="1" applyFont="1" applyFill="1" applyBorder="1" applyAlignment="1">
      <alignment horizontal="center" vertical="center" readingOrder="1"/>
    </xf>
    <xf numFmtId="0" fontId="5" fillId="0" borderId="0" xfId="0" applyFont="1" applyBorder="1" applyAlignment="1">
      <alignment horizontal="center" vertical="center" readingOrder="1"/>
    </xf>
    <xf numFmtId="0" fontId="18" fillId="2" borderId="4" xfId="0" applyFont="1" applyFill="1" applyBorder="1" applyAlignment="1">
      <alignment horizontal="center" vertical="center" wrapText="1"/>
    </xf>
    <xf numFmtId="0" fontId="19" fillId="4" borderId="4" xfId="0" applyFont="1" applyFill="1" applyBorder="1" applyAlignment="1">
      <alignment horizontal="center" vertical="center" readingOrder="1"/>
    </xf>
    <xf numFmtId="0" fontId="27" fillId="2" borderId="10" xfId="0" applyFont="1" applyFill="1" applyBorder="1" applyAlignment="1">
      <alignment horizontal="left" vertical="center" wrapText="1" readingOrder="1"/>
    </xf>
    <xf numFmtId="176" fontId="7" fillId="2" borderId="10" xfId="0" applyNumberFormat="1" applyFont="1" applyFill="1" applyBorder="1">
      <alignment vertical="center"/>
    </xf>
    <xf numFmtId="0" fontId="7" fillId="0" borderId="0" xfId="0" applyFont="1" applyBorder="1">
      <alignment vertical="center"/>
    </xf>
    <xf numFmtId="0" fontId="27" fillId="2" borderId="9" xfId="0" applyFont="1" applyFill="1" applyBorder="1" applyAlignment="1">
      <alignment horizontal="left" vertical="center" wrapText="1" readingOrder="1"/>
    </xf>
    <xf numFmtId="176" fontId="7" fillId="2" borderId="9" xfId="0" applyNumberFormat="1" applyFont="1" applyFill="1" applyBorder="1">
      <alignment vertical="center"/>
    </xf>
    <xf numFmtId="0" fontId="27" fillId="2" borderId="11" xfId="0" applyFont="1" applyFill="1" applyBorder="1" applyAlignment="1">
      <alignment horizontal="left" vertical="center" wrapText="1" readingOrder="1"/>
    </xf>
    <xf numFmtId="176" fontId="7" fillId="2" borderId="11" xfId="0" applyNumberFormat="1" applyFont="1" applyFill="1" applyBorder="1">
      <alignment vertical="center"/>
    </xf>
    <xf numFmtId="0" fontId="27" fillId="2" borderId="5" xfId="0" applyFont="1" applyFill="1" applyBorder="1" applyAlignment="1">
      <alignment horizontal="left" vertical="center" wrapText="1" readingOrder="1"/>
    </xf>
    <xf numFmtId="176" fontId="7" fillId="2" borderId="5" xfId="0" applyNumberFormat="1" applyFont="1" applyFill="1" applyBorder="1">
      <alignment vertical="center"/>
    </xf>
    <xf numFmtId="0" fontId="24" fillId="2" borderId="0" xfId="0" applyFont="1" applyFill="1" applyAlignment="1">
      <alignment horizontal="right"/>
    </xf>
    <xf numFmtId="0" fontId="29" fillId="2" borderId="0" xfId="0" applyFont="1" applyFill="1">
      <alignment vertical="center"/>
    </xf>
    <xf numFmtId="0" fontId="20" fillId="2" borderId="0" xfId="0" applyFont="1" applyFill="1" applyAlignment="1">
      <alignment horizontal="right" vertical="center" indent="1"/>
    </xf>
    <xf numFmtId="178" fontId="13" fillId="4" borderId="5" xfId="0" applyNumberFormat="1" applyFont="1" applyFill="1" applyBorder="1" applyAlignment="1">
      <alignment horizontal="right" vertical="center" wrapText="1"/>
    </xf>
    <xf numFmtId="177" fontId="8" fillId="2" borderId="1" xfId="0" applyNumberFormat="1" applyFont="1" applyFill="1" applyBorder="1" applyAlignment="1">
      <alignment vertical="center" shrinkToFit="1"/>
    </xf>
    <xf numFmtId="177" fontId="8" fillId="4" borderId="1" xfId="0" applyNumberFormat="1" applyFont="1" applyFill="1" applyBorder="1" applyAlignment="1">
      <alignment vertical="center" shrinkToFit="1"/>
    </xf>
    <xf numFmtId="177" fontId="8" fillId="2" borderId="8" xfId="0" applyNumberFormat="1" applyFont="1" applyFill="1" applyBorder="1" applyAlignment="1">
      <alignment vertical="center" shrinkToFit="1"/>
    </xf>
    <xf numFmtId="177" fontId="8" fillId="4" borderId="8" xfId="0" applyNumberFormat="1" applyFont="1" applyFill="1" applyBorder="1" applyAlignment="1">
      <alignment vertical="center" shrinkToFit="1"/>
    </xf>
    <xf numFmtId="0" fontId="21" fillId="0" borderId="0" xfId="0" applyFont="1" applyBorder="1">
      <alignment vertical="center"/>
    </xf>
    <xf numFmtId="178" fontId="8" fillId="4" borderId="1" xfId="0" quotePrefix="1" applyNumberFormat="1" applyFont="1" applyFill="1" applyBorder="1" applyAlignment="1">
      <alignment horizontal="right" vertical="center" wrapText="1"/>
    </xf>
    <xf numFmtId="0" fontId="31" fillId="0" borderId="0" xfId="0" applyFont="1" applyBorder="1">
      <alignment vertical="center"/>
    </xf>
    <xf numFmtId="2" fontId="5" fillId="0" borderId="0" xfId="0" applyNumberFormat="1" applyFont="1" applyBorder="1">
      <alignment vertical="center"/>
    </xf>
    <xf numFmtId="0" fontId="35" fillId="2" borderId="0" xfId="0" applyFont="1" applyFill="1">
      <alignment vertical="center"/>
    </xf>
    <xf numFmtId="0" fontId="38" fillId="2" borderId="0" xfId="0" applyFont="1" applyFill="1">
      <alignment vertical="center"/>
    </xf>
    <xf numFmtId="0" fontId="39" fillId="2" borderId="0" xfId="0" applyFont="1" applyFill="1" applyAlignment="1"/>
    <xf numFmtId="0" fontId="41" fillId="2" borderId="4" xfId="0" applyFont="1" applyFill="1" applyBorder="1" applyAlignment="1">
      <alignment horizontal="left" vertical="center" wrapText="1"/>
    </xf>
    <xf numFmtId="0" fontId="41" fillId="2" borderId="0" xfId="0" applyFont="1" applyFill="1" applyAlignment="1">
      <alignment horizontal="left" vertical="center" wrapText="1"/>
    </xf>
    <xf numFmtId="0" fontId="43" fillId="2" borderId="2" xfId="0" applyFont="1" applyFill="1" applyBorder="1" applyAlignment="1">
      <alignment horizontal="left" vertical="center" wrapText="1" indent="1"/>
    </xf>
    <xf numFmtId="0" fontId="43" fillId="2" borderId="1" xfId="0" applyFont="1" applyFill="1" applyBorder="1" applyAlignment="1">
      <alignment horizontal="left" vertical="center" wrapText="1" indent="2"/>
    </xf>
    <xf numFmtId="0" fontId="43" fillId="2" borderId="1" xfId="0" applyFont="1" applyFill="1" applyBorder="1" applyAlignment="1">
      <alignment horizontal="left" vertical="center" wrapText="1" indent="1"/>
    </xf>
    <xf numFmtId="0" fontId="40" fillId="2" borderId="6"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3" fillId="2" borderId="1" xfId="0" applyFont="1" applyFill="1" applyBorder="1" applyAlignment="1">
      <alignment horizontal="left" vertical="center" indent="2" shrinkToFit="1"/>
    </xf>
    <xf numFmtId="0" fontId="40" fillId="2" borderId="5" xfId="0" applyFont="1" applyFill="1" applyBorder="1" applyAlignment="1">
      <alignment vertical="center" shrinkToFit="1"/>
    </xf>
    <xf numFmtId="0" fontId="43" fillId="2" borderId="7" xfId="0" applyFont="1" applyFill="1" applyBorder="1" applyAlignment="1">
      <alignment vertical="center"/>
    </xf>
    <xf numFmtId="0" fontId="43" fillId="2" borderId="1" xfId="0" applyFont="1" applyFill="1" applyBorder="1" applyAlignment="1">
      <alignment vertical="center"/>
    </xf>
    <xf numFmtId="0" fontId="43" fillId="2" borderId="8" xfId="0" applyFont="1" applyFill="1" applyBorder="1" applyAlignment="1">
      <alignment vertical="center"/>
    </xf>
    <xf numFmtId="0" fontId="44" fillId="2" borderId="0" xfId="0" applyFont="1" applyFill="1" applyBorder="1" applyAlignment="1">
      <alignment vertical="center"/>
    </xf>
    <xf numFmtId="0" fontId="42" fillId="0" borderId="0" xfId="0" applyFont="1" applyAlignment="1">
      <alignment vertical="center"/>
    </xf>
    <xf numFmtId="0" fontId="36" fillId="2" borderId="0" xfId="0" applyFont="1" applyFill="1" applyAlignment="1">
      <alignment vertical="center" shrinkToFit="1"/>
    </xf>
    <xf numFmtId="0" fontId="40" fillId="2" borderId="0" xfId="0" applyFont="1" applyFill="1" applyAlignment="1">
      <alignment horizontal="center" vertical="center" shrinkToFit="1"/>
    </xf>
    <xf numFmtId="0" fontId="41" fillId="2" borderId="4" xfId="0" applyFont="1" applyFill="1" applyBorder="1" applyAlignment="1">
      <alignment horizontal="center" vertical="center" shrinkToFit="1"/>
    </xf>
    <xf numFmtId="0" fontId="41" fillId="4" borderId="4" xfId="0" applyFont="1" applyFill="1" applyBorder="1" applyAlignment="1">
      <alignment horizontal="center" vertical="center" shrinkToFit="1"/>
    </xf>
    <xf numFmtId="176" fontId="42" fillId="2" borderId="0" xfId="0" applyNumberFormat="1" applyFont="1" applyFill="1" applyAlignment="1">
      <alignment vertical="center" shrinkToFit="1"/>
    </xf>
    <xf numFmtId="176" fontId="42" fillId="4" borderId="0" xfId="0" applyNumberFormat="1" applyFont="1" applyFill="1" applyAlignment="1">
      <alignment vertical="center" shrinkToFit="1"/>
    </xf>
    <xf numFmtId="0" fontId="42" fillId="2" borderId="0" xfId="0" applyFont="1" applyFill="1" applyAlignment="1">
      <alignment shrinkToFit="1"/>
    </xf>
    <xf numFmtId="0" fontId="40" fillId="2" borderId="0" xfId="0" applyFont="1" applyFill="1" applyAlignment="1">
      <alignment shrinkToFit="1"/>
    </xf>
    <xf numFmtId="0" fontId="36" fillId="0" borderId="0" xfId="0" applyFont="1" applyAlignment="1">
      <alignment vertical="center" shrinkToFit="1"/>
    </xf>
    <xf numFmtId="0" fontId="21" fillId="2" borderId="0" xfId="0" applyFont="1" applyFill="1" applyAlignment="1">
      <alignment horizontal="left" vertical="center"/>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right" vertical="center" wrapText="1"/>
    </xf>
    <xf numFmtId="3" fontId="45" fillId="0" borderId="18" xfId="0" applyNumberFormat="1" applyFont="1" applyBorder="1" applyAlignment="1">
      <alignment horizontal="right" vertical="center" wrapText="1"/>
    </xf>
    <xf numFmtId="0" fontId="45" fillId="0" borderId="18" xfId="0" applyFont="1" applyBorder="1" applyAlignment="1">
      <alignment horizontal="right" vertical="center" wrapText="1"/>
    </xf>
    <xf numFmtId="0" fontId="45" fillId="0" borderId="25" xfId="0" applyFont="1" applyBorder="1" applyAlignment="1">
      <alignment vertical="center" wrapText="1"/>
    </xf>
    <xf numFmtId="3" fontId="45" fillId="0" borderId="24" xfId="0" applyNumberFormat="1" applyFont="1" applyBorder="1" applyAlignment="1">
      <alignment horizontal="right" vertical="center" wrapText="1"/>
    </xf>
    <xf numFmtId="0" fontId="45" fillId="0" borderId="24" xfId="0" applyFont="1" applyBorder="1" applyAlignment="1">
      <alignment horizontal="right" vertical="center" wrapText="1"/>
    </xf>
    <xf numFmtId="0" fontId="45" fillId="0" borderId="26" xfId="0" applyFont="1" applyBorder="1" applyAlignment="1">
      <alignment vertical="center" wrapText="1"/>
    </xf>
    <xf numFmtId="3" fontId="45" fillId="0" borderId="27" xfId="0" applyNumberFormat="1" applyFont="1" applyBorder="1" applyAlignment="1">
      <alignment horizontal="right" vertical="center" wrapText="1"/>
    </xf>
    <xf numFmtId="0" fontId="46" fillId="0" borderId="0" xfId="0" applyFont="1" applyAlignment="1">
      <alignment horizontal="center" vertical="center"/>
    </xf>
    <xf numFmtId="0" fontId="0" fillId="0" borderId="0" xfId="0" applyAlignment="1">
      <alignment vertical="center"/>
    </xf>
    <xf numFmtId="0" fontId="45" fillId="0" borderId="0" xfId="0" applyFont="1" applyAlignment="1">
      <alignment horizontal="center" vertical="center"/>
    </xf>
    <xf numFmtId="0" fontId="45" fillId="0" borderId="0" xfId="0" applyFont="1" applyAlignment="1">
      <alignment horizontal="right" vertical="center"/>
    </xf>
    <xf numFmtId="0" fontId="45" fillId="5" borderId="18" xfId="0" applyFont="1" applyFill="1" applyBorder="1" applyAlignment="1">
      <alignment horizontal="center" vertical="center"/>
    </xf>
    <xf numFmtId="0" fontId="45" fillId="5" borderId="24" xfId="0" applyFont="1" applyFill="1" applyBorder="1" applyAlignment="1">
      <alignment horizontal="center" vertical="center"/>
    </xf>
    <xf numFmtId="0" fontId="45" fillId="0" borderId="25" xfId="0" applyFont="1" applyBorder="1" applyAlignment="1">
      <alignment vertical="center"/>
    </xf>
    <xf numFmtId="3" fontId="45" fillId="0" borderId="18" xfId="0" applyNumberFormat="1" applyFont="1" applyBorder="1" applyAlignment="1">
      <alignment horizontal="right" vertical="center"/>
    </xf>
    <xf numFmtId="3" fontId="45" fillId="0" borderId="24" xfId="0" applyNumberFormat="1" applyFont="1" applyBorder="1" applyAlignment="1">
      <alignment horizontal="right" vertical="center"/>
    </xf>
    <xf numFmtId="0" fontId="45" fillId="0" borderId="18" xfId="0" applyFont="1" applyBorder="1" applyAlignment="1">
      <alignment horizontal="right" vertical="center"/>
    </xf>
    <xf numFmtId="0" fontId="45" fillId="0" borderId="24" xfId="0" applyFont="1" applyBorder="1" applyAlignment="1">
      <alignment horizontal="right" vertical="center"/>
    </xf>
    <xf numFmtId="0" fontId="45" fillId="0" borderId="26" xfId="0" applyFont="1" applyBorder="1" applyAlignment="1">
      <alignment vertical="center"/>
    </xf>
    <xf numFmtId="3" fontId="45" fillId="0" borderId="27" xfId="0" applyNumberFormat="1" applyFont="1" applyBorder="1" applyAlignment="1">
      <alignment horizontal="right" vertical="center"/>
    </xf>
    <xf numFmtId="0" fontId="45" fillId="0" borderId="27" xfId="0" applyFont="1" applyBorder="1" applyAlignment="1">
      <alignment horizontal="right" vertical="center"/>
    </xf>
    <xf numFmtId="0" fontId="45" fillId="0" borderId="28" xfId="0" applyFont="1" applyBorder="1" applyAlignment="1">
      <alignment horizontal="right" vertical="center"/>
    </xf>
    <xf numFmtId="0" fontId="45" fillId="5" borderId="19" xfId="0" applyFont="1" applyFill="1" applyBorder="1" applyAlignment="1">
      <alignment vertical="center"/>
    </xf>
    <xf numFmtId="0" fontId="45" fillId="5" borderId="20" xfId="0" applyFont="1" applyFill="1" applyBorder="1" applyAlignment="1">
      <alignment vertical="center"/>
    </xf>
    <xf numFmtId="0" fontId="45" fillId="5" borderId="21" xfId="0" applyFont="1" applyFill="1" applyBorder="1" applyAlignment="1">
      <alignment vertical="center"/>
    </xf>
    <xf numFmtId="0" fontId="45" fillId="5" borderId="22" xfId="0" applyFont="1" applyFill="1" applyBorder="1" applyAlignment="1">
      <alignment vertical="center"/>
    </xf>
    <xf numFmtId="0" fontId="45" fillId="5" borderId="23" xfId="0" applyFont="1" applyFill="1" applyBorder="1" applyAlignment="1">
      <alignment vertical="center"/>
    </xf>
    <xf numFmtId="3" fontId="45" fillId="0" borderId="28" xfId="0" applyNumberFormat="1" applyFont="1" applyBorder="1" applyAlignment="1">
      <alignment horizontal="right" vertical="center" wrapText="1"/>
    </xf>
    <xf numFmtId="3" fontId="45" fillId="0" borderId="28" xfId="0" applyNumberFormat="1" applyFont="1" applyBorder="1" applyAlignment="1">
      <alignment horizontal="right" vertical="center"/>
    </xf>
    <xf numFmtId="0" fontId="45" fillId="5" borderId="29" xfId="0" applyFont="1" applyFill="1" applyBorder="1" applyAlignment="1">
      <alignment horizontal="center" vertical="center" wrapText="1"/>
    </xf>
    <xf numFmtId="0" fontId="45" fillId="5" borderId="30" xfId="0" applyFont="1" applyFill="1" applyBorder="1" applyAlignment="1">
      <alignment horizontal="center" vertical="center" wrapText="1"/>
    </xf>
    <xf numFmtId="0" fontId="45" fillId="5" borderId="31" xfId="0" applyFont="1" applyFill="1" applyBorder="1" applyAlignment="1">
      <alignment horizontal="center" vertical="center" wrapText="1"/>
    </xf>
    <xf numFmtId="0" fontId="45" fillId="5" borderId="29" xfId="0" applyFont="1" applyFill="1" applyBorder="1" applyAlignment="1">
      <alignment horizontal="center" vertical="center"/>
    </xf>
    <xf numFmtId="0" fontId="45" fillId="5" borderId="30" xfId="0" applyFont="1" applyFill="1" applyBorder="1" applyAlignment="1">
      <alignment horizontal="center" vertical="center"/>
    </xf>
    <xf numFmtId="0" fontId="45" fillId="5" borderId="31" xfId="0" applyFont="1" applyFill="1" applyBorder="1" applyAlignment="1">
      <alignment horizontal="center" vertical="center"/>
    </xf>
    <xf numFmtId="176" fontId="7" fillId="0" borderId="0" xfId="0" applyNumberFormat="1" applyFont="1" applyBorder="1">
      <alignment vertical="center"/>
    </xf>
    <xf numFmtId="41" fontId="7" fillId="0" borderId="0" xfId="4" applyFont="1" applyBorder="1">
      <alignment vertical="center"/>
    </xf>
    <xf numFmtId="41" fontId="5" fillId="0" borderId="0" xfId="4" applyFont="1" applyBorder="1">
      <alignment vertical="center"/>
    </xf>
    <xf numFmtId="0" fontId="48" fillId="0" borderId="0" xfId="0" applyFont="1" applyAlignment="1">
      <alignment vertical="center"/>
    </xf>
    <xf numFmtId="41" fontId="0" fillId="0" borderId="0" xfId="4" applyFont="1">
      <alignment vertical="center"/>
    </xf>
    <xf numFmtId="0" fontId="50" fillId="0" borderId="0" xfId="0" applyFont="1">
      <alignment vertical="center"/>
    </xf>
    <xf numFmtId="0" fontId="47" fillId="0" borderId="0" xfId="0" applyFont="1" applyBorder="1">
      <alignment vertical="center"/>
    </xf>
    <xf numFmtId="0" fontId="51" fillId="0" borderId="0" xfId="0" applyFont="1">
      <alignment vertical="center"/>
    </xf>
    <xf numFmtId="3" fontId="0" fillId="0" borderId="0" xfId="0" applyNumberFormat="1">
      <alignment vertical="center"/>
    </xf>
    <xf numFmtId="0" fontId="45" fillId="6" borderId="25" xfId="0" applyFont="1" applyFill="1" applyBorder="1" applyAlignment="1">
      <alignment vertical="center"/>
    </xf>
    <xf numFmtId="3" fontId="45" fillId="6" borderId="18" xfId="0" applyNumberFormat="1" applyFont="1" applyFill="1" applyBorder="1" applyAlignment="1">
      <alignment horizontal="right" vertical="center"/>
    </xf>
    <xf numFmtId="3" fontId="45" fillId="6" borderId="24" xfId="0" applyNumberFormat="1" applyFont="1" applyFill="1" applyBorder="1" applyAlignment="1">
      <alignment horizontal="right" vertical="center"/>
    </xf>
    <xf numFmtId="178" fontId="8" fillId="2" borderId="7" xfId="0" applyNumberFormat="1" applyFont="1" applyFill="1" applyBorder="1" applyAlignment="1">
      <alignment vertical="center" shrinkToFit="1"/>
    </xf>
    <xf numFmtId="178" fontId="8" fillId="4" borderId="7" xfId="0" applyNumberFormat="1" applyFont="1" applyFill="1" applyBorder="1" applyAlignment="1">
      <alignment vertical="center" shrinkToFit="1"/>
    </xf>
    <xf numFmtId="178" fontId="8" fillId="2" borderId="1" xfId="0" applyNumberFormat="1" applyFont="1" applyFill="1" applyBorder="1" applyAlignment="1">
      <alignment vertical="center" shrinkToFit="1"/>
    </xf>
    <xf numFmtId="178" fontId="8" fillId="4" borderId="1" xfId="0" applyNumberFormat="1" applyFont="1" applyFill="1" applyBorder="1" applyAlignment="1">
      <alignment vertical="center" shrinkToFit="1"/>
    </xf>
    <xf numFmtId="180" fontId="8" fillId="2" borderId="1" xfId="0" applyNumberFormat="1" applyFont="1" applyFill="1" applyBorder="1" applyAlignment="1">
      <alignment vertical="center" shrinkToFit="1"/>
    </xf>
    <xf numFmtId="180" fontId="8" fillId="4" borderId="1" xfId="0" applyNumberFormat="1" applyFont="1" applyFill="1" applyBorder="1" applyAlignment="1">
      <alignment vertical="center" shrinkToFit="1"/>
    </xf>
    <xf numFmtId="0" fontId="52" fillId="2" borderId="7" xfId="0" applyFont="1" applyFill="1" applyBorder="1" applyAlignment="1">
      <alignment vertical="center"/>
    </xf>
    <xf numFmtId="0" fontId="52" fillId="2" borderId="1" xfId="0" applyFont="1" applyFill="1" applyBorder="1" applyAlignment="1">
      <alignment vertical="center"/>
    </xf>
    <xf numFmtId="0" fontId="52" fillId="2" borderId="8" xfId="0" applyFont="1" applyFill="1" applyBorder="1" applyAlignment="1">
      <alignment vertical="center"/>
    </xf>
    <xf numFmtId="0" fontId="53" fillId="0" borderId="0" xfId="0" applyFont="1">
      <alignment vertical="center"/>
    </xf>
    <xf numFmtId="0" fontId="54" fillId="0" borderId="0" xfId="0" applyFont="1">
      <alignment vertical="center"/>
    </xf>
    <xf numFmtId="0" fontId="28" fillId="2" borderId="9" xfId="0" applyFont="1" applyFill="1" applyBorder="1" applyAlignment="1">
      <alignment horizontal="left" vertical="center" wrapText="1" readingOrder="1"/>
    </xf>
    <xf numFmtId="178" fontId="43" fillId="2" borderId="2" xfId="0" applyNumberFormat="1" applyFont="1" applyFill="1" applyBorder="1" applyAlignment="1">
      <alignment horizontal="right" vertical="center" shrinkToFit="1"/>
    </xf>
    <xf numFmtId="178" fontId="43" fillId="4" borderId="2" xfId="0" applyNumberFormat="1" applyFont="1" applyFill="1" applyBorder="1" applyAlignment="1">
      <alignment horizontal="right" vertical="center" shrinkToFit="1"/>
    </xf>
    <xf numFmtId="178" fontId="43" fillId="2" borderId="1" xfId="0" applyNumberFormat="1" applyFont="1" applyFill="1" applyBorder="1" applyAlignment="1">
      <alignment horizontal="right" vertical="center" shrinkToFit="1"/>
    </xf>
    <xf numFmtId="178" fontId="43" fillId="4" borderId="1" xfId="0" applyNumberFormat="1" applyFont="1" applyFill="1" applyBorder="1" applyAlignment="1">
      <alignment horizontal="right" vertical="center" shrinkToFit="1"/>
    </xf>
    <xf numFmtId="178" fontId="40" fillId="2" borderId="6" xfId="0" applyNumberFormat="1" applyFont="1" applyFill="1" applyBorder="1" applyAlignment="1">
      <alignment horizontal="right" vertical="center" shrinkToFit="1"/>
    </xf>
    <xf numFmtId="178" fontId="40" fillId="4" borderId="6" xfId="0" applyNumberFormat="1" applyFont="1" applyFill="1" applyBorder="1" applyAlignment="1">
      <alignment horizontal="right" vertical="center" shrinkToFit="1"/>
    </xf>
    <xf numFmtId="178" fontId="42" fillId="2" borderId="0" xfId="0" applyNumberFormat="1" applyFont="1" applyFill="1" applyBorder="1" applyAlignment="1">
      <alignment horizontal="right" vertical="center" shrinkToFit="1"/>
    </xf>
    <xf numFmtId="178" fontId="42" fillId="4" borderId="0" xfId="0" applyNumberFormat="1" applyFont="1" applyFill="1" applyBorder="1" applyAlignment="1">
      <alignment horizontal="right" vertical="center" shrinkToFit="1"/>
    </xf>
    <xf numFmtId="178" fontId="40" fillId="2" borderId="0" xfId="0" applyNumberFormat="1" applyFont="1" applyFill="1" applyBorder="1" applyAlignment="1">
      <alignment vertical="center" shrinkToFit="1"/>
    </xf>
    <xf numFmtId="178" fontId="43" fillId="2" borderId="7" xfId="0" applyNumberFormat="1" applyFont="1" applyFill="1" applyBorder="1" applyAlignment="1">
      <alignment vertical="center" shrinkToFit="1"/>
    </xf>
    <xf numFmtId="178" fontId="43" fillId="4" borderId="7" xfId="0" applyNumberFormat="1" applyFont="1" applyFill="1" applyBorder="1" applyAlignment="1">
      <alignment vertical="center" shrinkToFit="1"/>
    </xf>
    <xf numFmtId="180" fontId="43" fillId="2" borderId="1" xfId="0" applyNumberFormat="1" applyFont="1" applyFill="1" applyBorder="1" applyAlignment="1">
      <alignment vertical="center" shrinkToFit="1"/>
    </xf>
    <xf numFmtId="180" fontId="43" fillId="4" borderId="1" xfId="0" applyNumberFormat="1" applyFont="1" applyFill="1" applyBorder="1" applyAlignment="1">
      <alignment vertical="center" shrinkToFit="1"/>
    </xf>
    <xf numFmtId="180" fontId="43" fillId="2" borderId="8" xfId="0" applyNumberFormat="1" applyFont="1" applyFill="1" applyBorder="1" applyAlignment="1">
      <alignment vertical="center" shrinkToFit="1"/>
    </xf>
    <xf numFmtId="180" fontId="43" fillId="4" borderId="8" xfId="0" applyNumberFormat="1" applyFont="1" applyFill="1" applyBorder="1" applyAlignment="1">
      <alignment vertical="center" shrinkToFit="1"/>
    </xf>
    <xf numFmtId="0" fontId="52" fillId="2" borderId="0" xfId="0" applyFont="1" applyFill="1" applyAlignment="1">
      <alignment vertical="center"/>
    </xf>
    <xf numFmtId="0" fontId="52" fillId="0" borderId="0" xfId="0" applyFont="1" applyAlignment="1">
      <alignment vertical="center"/>
    </xf>
    <xf numFmtId="0" fontId="40" fillId="2" borderId="0" xfId="0" applyFont="1" applyFill="1" applyBorder="1" applyAlignment="1">
      <alignment vertical="center" shrinkToFit="1"/>
    </xf>
    <xf numFmtId="178" fontId="40" fillId="2" borderId="5" xfId="0" applyNumberFormat="1" applyFont="1" applyFill="1" applyBorder="1" applyAlignment="1">
      <alignment vertical="center" shrinkToFit="1"/>
    </xf>
    <xf numFmtId="178" fontId="40" fillId="4" borderId="5" xfId="0" applyNumberFormat="1" applyFont="1" applyFill="1" applyBorder="1" applyAlignment="1">
      <alignment vertical="center" shrinkToFit="1"/>
    </xf>
    <xf numFmtId="0" fontId="56" fillId="2" borderId="0" xfId="0" applyFont="1" applyFill="1">
      <alignment vertical="center"/>
    </xf>
    <xf numFmtId="0" fontId="57" fillId="2" borderId="0" xfId="0" applyFont="1" applyFill="1">
      <alignment vertical="center"/>
    </xf>
    <xf numFmtId="0" fontId="58" fillId="2" borderId="0" xfId="0" applyFont="1" applyFill="1" applyAlignment="1"/>
    <xf numFmtId="0" fontId="27" fillId="2" borderId="4" xfId="0" applyFont="1" applyFill="1" applyBorder="1" applyAlignment="1">
      <alignment horizontal="left" vertical="center" wrapText="1"/>
    </xf>
    <xf numFmtId="0" fontId="55" fillId="2" borderId="0" xfId="0" applyFont="1" applyFill="1" applyAlignment="1">
      <alignment horizontal="left" vertical="center" wrapText="1"/>
    </xf>
    <xf numFmtId="0" fontId="52" fillId="2" borderId="2" xfId="0" applyFont="1" applyFill="1" applyBorder="1" applyAlignment="1">
      <alignment horizontal="left" vertical="center" wrapText="1" indent="1"/>
    </xf>
    <xf numFmtId="0" fontId="28" fillId="2" borderId="1" xfId="0" applyFont="1" applyFill="1" applyBorder="1" applyAlignment="1">
      <alignment horizontal="left" vertical="center" wrapText="1" indent="2"/>
    </xf>
    <xf numFmtId="0" fontId="52" fillId="2" borderId="1" xfId="0" applyFont="1" applyFill="1" applyBorder="1" applyAlignment="1">
      <alignment horizontal="left" vertical="center" wrapText="1" indent="1"/>
    </xf>
    <xf numFmtId="0" fontId="59" fillId="2" borderId="6" xfId="0"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3" xfId="0" applyFont="1" applyFill="1" applyBorder="1" applyAlignment="1">
      <alignment horizontal="left" vertical="center" wrapText="1"/>
    </xf>
    <xf numFmtId="0" fontId="59" fillId="2" borderId="5" xfId="0" applyFont="1" applyFill="1" applyBorder="1" applyAlignment="1">
      <alignment vertical="center" wrapText="1"/>
    </xf>
    <xf numFmtId="0" fontId="60" fillId="2" borderId="0" xfId="0" applyFont="1" applyFill="1" applyAlignment="1">
      <alignment vertical="center"/>
    </xf>
    <xf numFmtId="0" fontId="59" fillId="2" borderId="0" xfId="0" applyFont="1" applyFill="1" applyBorder="1" applyAlignment="1">
      <alignment vertical="center" wrapText="1"/>
    </xf>
    <xf numFmtId="178" fontId="13" fillId="2" borderId="0" xfId="0" applyNumberFormat="1" applyFont="1" applyFill="1" applyBorder="1" applyAlignment="1">
      <alignment horizontal="right" vertical="center" wrapText="1"/>
    </xf>
    <xf numFmtId="178" fontId="13" fillId="4" borderId="0" xfId="0" applyNumberFormat="1" applyFont="1" applyFill="1" applyBorder="1" applyAlignment="1">
      <alignment horizontal="right" vertical="center" wrapText="1"/>
    </xf>
    <xf numFmtId="0" fontId="52" fillId="2" borderId="0" xfId="0" applyFont="1" applyFill="1" applyBorder="1" applyAlignment="1">
      <alignment vertical="center"/>
    </xf>
    <xf numFmtId="0" fontId="52" fillId="2" borderId="32" xfId="0" applyFont="1" applyFill="1" applyBorder="1" applyAlignment="1">
      <alignment vertical="center"/>
    </xf>
    <xf numFmtId="178" fontId="5" fillId="0" borderId="0" xfId="0" applyNumberFormat="1" applyFont="1">
      <alignment vertical="center"/>
    </xf>
    <xf numFmtId="0" fontId="61" fillId="0" borderId="0" xfId="0" applyFont="1">
      <alignment vertical="center"/>
    </xf>
    <xf numFmtId="0" fontId="58" fillId="2" borderId="0" xfId="0" applyFont="1" applyFill="1" applyBorder="1" applyAlignment="1"/>
    <xf numFmtId="0" fontId="62" fillId="2" borderId="0" xfId="0" applyFont="1" applyFill="1" applyBorder="1">
      <alignment vertical="center"/>
    </xf>
    <xf numFmtId="0" fontId="27" fillId="2" borderId="0" xfId="0" applyFont="1" applyFill="1" applyBorder="1" applyAlignment="1">
      <alignment horizontal="left" vertical="center" wrapText="1" readingOrder="1"/>
    </xf>
    <xf numFmtId="0" fontId="27" fillId="2" borderId="4" xfId="0" applyFont="1" applyFill="1" applyBorder="1" applyAlignment="1">
      <alignment horizontal="center" vertical="center" wrapText="1" readingOrder="1"/>
    </xf>
    <xf numFmtId="0" fontId="27" fillId="2" borderId="0" xfId="0" applyFont="1" applyFill="1" applyBorder="1" applyAlignment="1">
      <alignment horizontal="center" vertical="center" wrapText="1" readingOrder="1"/>
    </xf>
    <xf numFmtId="178" fontId="7" fillId="2" borderId="10" xfId="0" applyNumberFormat="1" applyFont="1" applyFill="1" applyBorder="1" applyAlignment="1">
      <alignment vertical="center" wrapText="1"/>
    </xf>
    <xf numFmtId="178" fontId="7" fillId="2" borderId="10" xfId="0" applyNumberFormat="1" applyFont="1" applyFill="1" applyBorder="1">
      <alignment vertical="center"/>
    </xf>
    <xf numFmtId="178" fontId="7" fillId="4" borderId="10" xfId="0" applyNumberFormat="1" applyFont="1" applyFill="1" applyBorder="1">
      <alignment vertical="center"/>
    </xf>
    <xf numFmtId="178" fontId="7" fillId="0" borderId="10" xfId="0" applyNumberFormat="1" applyFont="1" applyFill="1" applyBorder="1">
      <alignment vertical="center"/>
    </xf>
    <xf numFmtId="178" fontId="5" fillId="2" borderId="9" xfId="0" applyNumberFormat="1" applyFont="1" applyFill="1" applyBorder="1">
      <alignment vertical="center"/>
    </xf>
    <xf numFmtId="178" fontId="5" fillId="4" borderId="9" xfId="0" applyNumberFormat="1" applyFont="1" applyFill="1" applyBorder="1">
      <alignment vertical="center"/>
    </xf>
    <xf numFmtId="178" fontId="5" fillId="0" borderId="9" xfId="0" applyNumberFormat="1" applyFont="1" applyFill="1" applyBorder="1">
      <alignment vertical="center"/>
    </xf>
    <xf numFmtId="178" fontId="7" fillId="2" borderId="9" xfId="0" applyNumberFormat="1" applyFont="1" applyFill="1" applyBorder="1">
      <alignment vertical="center"/>
    </xf>
    <xf numFmtId="178" fontId="7" fillId="4" borderId="9" xfId="0" applyNumberFormat="1" applyFont="1" applyFill="1" applyBorder="1">
      <alignment vertical="center"/>
    </xf>
    <xf numFmtId="178" fontId="7" fillId="0" borderId="9" xfId="0" applyNumberFormat="1" applyFont="1" applyFill="1" applyBorder="1">
      <alignment vertical="center"/>
    </xf>
    <xf numFmtId="178" fontId="7" fillId="2" borderId="11" xfId="0" applyNumberFormat="1" applyFont="1" applyFill="1" applyBorder="1">
      <alignment vertical="center"/>
    </xf>
    <xf numFmtId="178" fontId="7" fillId="4" borderId="11" xfId="0" applyNumberFormat="1" applyFont="1" applyFill="1" applyBorder="1">
      <alignment vertical="center"/>
    </xf>
    <xf numFmtId="178" fontId="7" fillId="0" borderId="11" xfId="0" applyNumberFormat="1" applyFont="1" applyFill="1" applyBorder="1">
      <alignment vertical="center"/>
    </xf>
    <xf numFmtId="178" fontId="7" fillId="2" borderId="5" xfId="0" applyNumberFormat="1" applyFont="1" applyFill="1" applyBorder="1">
      <alignment vertical="center"/>
    </xf>
    <xf numFmtId="178" fontId="7" fillId="4" borderId="5" xfId="0" applyNumberFormat="1" applyFont="1" applyFill="1" applyBorder="1">
      <alignment vertical="center"/>
    </xf>
    <xf numFmtId="178" fontId="7" fillId="0" borderId="5" xfId="0" applyNumberFormat="1" applyFont="1" applyFill="1" applyBorder="1">
      <alignment vertical="center"/>
    </xf>
    <xf numFmtId="0" fontId="53" fillId="7" borderId="0" xfId="0" applyFont="1" applyFill="1" applyBorder="1" applyAlignment="1">
      <alignment vertical="center" wrapText="1"/>
    </xf>
    <xf numFmtId="3" fontId="5" fillId="0" borderId="0" xfId="0" applyNumberFormat="1" applyFont="1">
      <alignment vertical="center"/>
    </xf>
    <xf numFmtId="0" fontId="49" fillId="0" borderId="0" xfId="0" applyFont="1">
      <alignment vertical="center"/>
    </xf>
    <xf numFmtId="176" fontId="5" fillId="0" borderId="0" xfId="0" applyNumberFormat="1" applyFont="1" applyBorder="1">
      <alignment vertical="center"/>
    </xf>
    <xf numFmtId="0" fontId="27" fillId="2" borderId="33" xfId="0" applyFont="1" applyFill="1" applyBorder="1" applyAlignment="1">
      <alignment horizontal="left" vertical="center" wrapText="1" readingOrder="1"/>
    </xf>
    <xf numFmtId="178" fontId="7" fillId="2" borderId="33" xfId="0" applyNumberFormat="1" applyFont="1" applyFill="1" applyBorder="1">
      <alignment vertical="center"/>
    </xf>
    <xf numFmtId="178" fontId="7" fillId="0" borderId="33" xfId="0" applyNumberFormat="1" applyFont="1" applyFill="1" applyBorder="1">
      <alignment vertical="center"/>
    </xf>
    <xf numFmtId="178" fontId="7" fillId="4" borderId="33" xfId="0" applyNumberFormat="1" applyFont="1" applyFill="1" applyBorder="1">
      <alignment vertical="center"/>
    </xf>
    <xf numFmtId="0" fontId="28" fillId="2" borderId="34" xfId="0" applyFont="1" applyFill="1" applyBorder="1" applyAlignment="1">
      <alignment horizontal="left" vertical="center" wrapText="1" readingOrder="1"/>
    </xf>
    <xf numFmtId="178" fontId="5" fillId="2" borderId="34" xfId="0" applyNumberFormat="1" applyFont="1" applyFill="1" applyBorder="1">
      <alignment vertical="center"/>
    </xf>
    <xf numFmtId="178" fontId="5" fillId="4" borderId="34" xfId="0" applyNumberFormat="1" applyFont="1" applyFill="1" applyBorder="1">
      <alignment vertical="center"/>
    </xf>
    <xf numFmtId="178" fontId="5" fillId="0" borderId="34" xfId="0" applyNumberFormat="1" applyFont="1" applyFill="1" applyBorder="1">
      <alignment vertical="center"/>
    </xf>
    <xf numFmtId="180" fontId="5" fillId="2" borderId="9" xfId="0" applyNumberFormat="1" applyFont="1" applyFill="1" applyBorder="1">
      <alignment vertical="center"/>
    </xf>
    <xf numFmtId="180" fontId="5" fillId="4" borderId="9" xfId="0" applyNumberFormat="1" applyFont="1" applyFill="1" applyBorder="1">
      <alignment vertical="center"/>
    </xf>
    <xf numFmtId="180" fontId="5" fillId="0" borderId="9" xfId="0" applyNumberFormat="1" applyFont="1" applyFill="1" applyBorder="1">
      <alignment vertical="center"/>
    </xf>
    <xf numFmtId="0" fontId="28" fillId="2" borderId="33" xfId="0" applyFont="1" applyFill="1" applyBorder="1" applyAlignment="1">
      <alignment horizontal="left" vertical="center" wrapText="1" readingOrder="1"/>
    </xf>
    <xf numFmtId="180" fontId="5" fillId="2" borderId="33" xfId="0" applyNumberFormat="1" applyFont="1" applyFill="1" applyBorder="1">
      <alignment vertical="center"/>
    </xf>
    <xf numFmtId="180" fontId="5" fillId="4" borderId="33" xfId="0" applyNumberFormat="1" applyFont="1" applyFill="1" applyBorder="1">
      <alignment vertical="center"/>
    </xf>
    <xf numFmtId="180" fontId="5" fillId="0" borderId="33" xfId="0" applyNumberFormat="1" applyFont="1" applyFill="1" applyBorder="1">
      <alignment vertical="center"/>
    </xf>
    <xf numFmtId="180" fontId="5" fillId="2" borderId="34" xfId="0" applyNumberFormat="1" applyFont="1" applyFill="1" applyBorder="1">
      <alignment vertical="center"/>
    </xf>
    <xf numFmtId="180" fontId="5" fillId="4" borderId="34" xfId="0" applyNumberFormat="1" applyFont="1" applyFill="1" applyBorder="1">
      <alignment vertical="center"/>
    </xf>
    <xf numFmtId="180" fontId="5" fillId="0" borderId="34" xfId="0" applyNumberFormat="1" applyFont="1" applyFill="1" applyBorder="1">
      <alignment vertical="center"/>
    </xf>
    <xf numFmtId="0" fontId="63" fillId="0" borderId="25" xfId="0" applyFont="1" applyBorder="1" applyAlignment="1">
      <alignment vertical="center"/>
    </xf>
    <xf numFmtId="0" fontId="53" fillId="7" borderId="0" xfId="0" applyFont="1" applyFill="1" applyBorder="1" applyAlignment="1">
      <alignment vertical="center"/>
    </xf>
    <xf numFmtId="0" fontId="64" fillId="2" borderId="0" xfId="0" applyFont="1" applyFill="1" applyAlignment="1">
      <alignment vertical="center"/>
    </xf>
    <xf numFmtId="0" fontId="36" fillId="2" borderId="0" xfId="0" applyFont="1" applyFill="1">
      <alignment vertical="center"/>
    </xf>
    <xf numFmtId="0" fontId="39" fillId="2" borderId="0" xfId="0" applyFont="1" applyFill="1" applyBorder="1" applyAlignment="1"/>
    <xf numFmtId="0" fontId="37" fillId="2" borderId="4" xfId="0" applyFont="1" applyFill="1" applyBorder="1" applyAlignment="1">
      <alignment horizontal="center" vertical="center" shrinkToFit="1"/>
    </xf>
    <xf numFmtId="0" fontId="66" fillId="4" borderId="4" xfId="0" applyFont="1" applyFill="1" applyBorder="1" applyAlignment="1">
      <alignment horizontal="center" vertical="center" shrinkToFit="1"/>
    </xf>
    <xf numFmtId="0" fontId="41" fillId="2" borderId="10" xfId="0" applyFont="1" applyFill="1" applyBorder="1" applyAlignment="1">
      <alignment horizontal="left" vertical="center" wrapText="1" readingOrder="1"/>
    </xf>
    <xf numFmtId="178" fontId="67" fillId="2" borderId="10" xfId="0" applyNumberFormat="1" applyFont="1" applyFill="1" applyBorder="1" applyAlignment="1">
      <alignment vertical="center" shrinkToFit="1" readingOrder="1"/>
    </xf>
    <xf numFmtId="178" fontId="67" fillId="4" borderId="10" xfId="0" applyNumberFormat="1" applyFont="1" applyFill="1" applyBorder="1" applyAlignment="1">
      <alignment vertical="center" shrinkToFit="1" readingOrder="1"/>
    </xf>
    <xf numFmtId="0" fontId="43" fillId="2" borderId="9" xfId="0" applyFont="1" applyFill="1" applyBorder="1" applyAlignment="1">
      <alignment horizontal="left" vertical="center" wrapText="1" indent="1" readingOrder="1"/>
    </xf>
    <xf numFmtId="178" fontId="69" fillId="2" borderId="9" xfId="0" applyNumberFormat="1" applyFont="1" applyFill="1" applyBorder="1" applyAlignment="1">
      <alignment vertical="center" shrinkToFit="1" readingOrder="1"/>
    </xf>
    <xf numFmtId="178" fontId="69" fillId="4" borderId="9" xfId="0" applyNumberFormat="1" applyFont="1" applyFill="1" applyBorder="1" applyAlignment="1">
      <alignment vertical="center" shrinkToFit="1" readingOrder="1"/>
    </xf>
    <xf numFmtId="0" fontId="43" fillId="2" borderId="9" xfId="0" applyFont="1" applyFill="1" applyBorder="1" applyAlignment="1">
      <alignment horizontal="left" vertical="center" indent="1" shrinkToFit="1" readingOrder="1"/>
    </xf>
    <xf numFmtId="0" fontId="41" fillId="2" borderId="9" xfId="0" applyFont="1" applyFill="1" applyBorder="1" applyAlignment="1">
      <alignment horizontal="left" vertical="center" wrapText="1" readingOrder="1"/>
    </xf>
    <xf numFmtId="178" fontId="67" fillId="2" borderId="9" xfId="0" applyNumberFormat="1" applyFont="1" applyFill="1" applyBorder="1" applyAlignment="1">
      <alignment vertical="center" shrinkToFit="1" readingOrder="1"/>
    </xf>
    <xf numFmtId="178" fontId="67" fillId="4" borderId="9" xfId="0" applyNumberFormat="1" applyFont="1" applyFill="1" applyBorder="1" applyAlignment="1">
      <alignment vertical="center" shrinkToFit="1" readingOrder="1"/>
    </xf>
    <xf numFmtId="0" fontId="44" fillId="2" borderId="9" xfId="0" applyFont="1" applyFill="1" applyBorder="1" applyAlignment="1">
      <alignment horizontal="left" vertical="center" wrapText="1" indent="1" shrinkToFit="1" readingOrder="1"/>
    </xf>
    <xf numFmtId="0" fontId="44" fillId="2" borderId="9" xfId="0" applyFont="1" applyFill="1" applyBorder="1" applyAlignment="1">
      <alignment horizontal="left" vertical="center" wrapText="1" indent="1" readingOrder="1"/>
    </xf>
    <xf numFmtId="178" fontId="67" fillId="2" borderId="11" xfId="0" applyNumberFormat="1" applyFont="1" applyFill="1" applyBorder="1" applyAlignment="1">
      <alignment vertical="center" shrinkToFit="1" readingOrder="1"/>
    </xf>
    <xf numFmtId="178" fontId="67" fillId="4" borderId="11" xfId="0" applyNumberFormat="1" applyFont="1" applyFill="1" applyBorder="1" applyAlignment="1">
      <alignment vertical="center" shrinkToFit="1" readingOrder="1"/>
    </xf>
    <xf numFmtId="0" fontId="41" fillId="2" borderId="5" xfId="0" applyFont="1" applyFill="1" applyBorder="1" applyAlignment="1">
      <alignment horizontal="left" vertical="center" wrapText="1" readingOrder="1"/>
    </xf>
    <xf numFmtId="178" fontId="67" fillId="2" borderId="5" xfId="0" applyNumberFormat="1" applyFont="1" applyFill="1" applyBorder="1" applyAlignment="1">
      <alignment vertical="center" shrinkToFit="1" readingOrder="1"/>
    </xf>
    <xf numFmtId="178" fontId="67" fillId="2" borderId="5" xfId="0" applyNumberFormat="1" applyFont="1" applyFill="1" applyBorder="1" applyAlignment="1">
      <alignment horizontal="right" vertical="center" shrinkToFit="1" readingOrder="1"/>
    </xf>
    <xf numFmtId="178" fontId="67" fillId="4" borderId="5" xfId="0" applyNumberFormat="1" applyFont="1" applyFill="1" applyBorder="1" applyAlignment="1">
      <alignment vertical="center" shrinkToFit="1" readingOrder="1"/>
    </xf>
    <xf numFmtId="0" fontId="43" fillId="2" borderId="9" xfId="0" applyFont="1" applyFill="1" applyBorder="1" applyAlignment="1">
      <alignment horizontal="left" vertical="center" wrapText="1" readingOrder="1"/>
    </xf>
    <xf numFmtId="0" fontId="43" fillId="2" borderId="34" xfId="0" applyFont="1" applyFill="1" applyBorder="1" applyAlignment="1">
      <alignment horizontal="left" vertical="center" wrapText="1" readingOrder="1"/>
    </xf>
    <xf numFmtId="0" fontId="43" fillId="2" borderId="33" xfId="0" applyFont="1" applyFill="1" applyBorder="1" applyAlignment="1">
      <alignment horizontal="left" vertical="center" wrapText="1" readingOrder="1"/>
    </xf>
    <xf numFmtId="0" fontId="64" fillId="2" borderId="0" xfId="0" applyFont="1" applyFill="1" applyBorder="1" applyAlignment="1">
      <alignment horizontal="left" vertical="center" readingOrder="1"/>
    </xf>
    <xf numFmtId="0" fontId="44" fillId="2" borderId="0" xfId="0" applyFont="1" applyFill="1" applyBorder="1" applyAlignment="1">
      <alignment horizontal="left" vertical="center" readingOrder="1"/>
    </xf>
    <xf numFmtId="0" fontId="70" fillId="2" borderId="0" xfId="0" applyFont="1" applyFill="1" applyBorder="1" applyAlignment="1">
      <alignment vertical="center"/>
    </xf>
    <xf numFmtId="0" fontId="70" fillId="0" borderId="0" xfId="0" applyFont="1" applyBorder="1" applyAlignment="1">
      <alignment vertical="center"/>
    </xf>
    <xf numFmtId="0" fontId="36" fillId="0" borderId="0" xfId="0" applyFont="1">
      <alignment vertical="center"/>
    </xf>
    <xf numFmtId="0" fontId="71" fillId="0" borderId="0" xfId="0" applyFont="1">
      <alignment vertical="center"/>
    </xf>
    <xf numFmtId="0" fontId="41" fillId="2" borderId="0" xfId="0" applyFont="1" applyFill="1" applyBorder="1" applyAlignment="1">
      <alignment horizontal="left" vertical="center" wrapText="1" readingOrder="1"/>
    </xf>
    <xf numFmtId="176" fontId="69" fillId="2" borderId="0" xfId="0" applyNumberFormat="1" applyFont="1" applyFill="1" applyBorder="1" applyAlignment="1">
      <alignment vertical="center" shrinkToFit="1" readingOrder="1"/>
    </xf>
    <xf numFmtId="176" fontId="69" fillId="2" borderId="0" xfId="0" applyNumberFormat="1" applyFont="1" applyFill="1" applyBorder="1" applyAlignment="1">
      <alignment horizontal="right" vertical="center" shrinkToFit="1" readingOrder="1"/>
    </xf>
    <xf numFmtId="176" fontId="36" fillId="2" borderId="0" xfId="0" applyNumberFormat="1" applyFont="1" applyFill="1" applyBorder="1" applyAlignment="1">
      <alignment vertical="center" shrinkToFit="1" readingOrder="1"/>
    </xf>
    <xf numFmtId="0" fontId="73" fillId="0" borderId="35" xfId="0" applyFont="1" applyBorder="1" applyAlignment="1">
      <alignment vertical="center" wrapText="1" readingOrder="1"/>
    </xf>
    <xf numFmtId="0" fontId="71" fillId="2" borderId="0" xfId="0" applyFont="1" applyFill="1">
      <alignment vertical="center"/>
    </xf>
    <xf numFmtId="0" fontId="71" fillId="2" borderId="0" xfId="0" applyFont="1" applyFill="1" applyAlignment="1">
      <alignment vertical="center" shrinkToFit="1"/>
    </xf>
    <xf numFmtId="0" fontId="72" fillId="2" borderId="0" xfId="0" applyFont="1" applyFill="1" applyAlignment="1">
      <alignment vertical="center" shrinkToFit="1"/>
    </xf>
    <xf numFmtId="0" fontId="75" fillId="2" borderId="36" xfId="0" applyFont="1" applyFill="1" applyBorder="1" applyAlignment="1">
      <alignment horizontal="center" vertical="center" shrinkToFit="1"/>
    </xf>
    <xf numFmtId="0" fontId="71" fillId="0" borderId="0" xfId="0" applyFont="1" applyAlignment="1">
      <alignment vertical="center" shrinkToFit="1"/>
    </xf>
    <xf numFmtId="0" fontId="70" fillId="2" borderId="0" xfId="0" applyFont="1" applyFill="1">
      <alignment vertical="center"/>
    </xf>
    <xf numFmtId="0" fontId="70" fillId="2" borderId="0" xfId="0" applyFont="1" applyFill="1" applyAlignment="1">
      <alignment vertical="center" shrinkToFit="1"/>
    </xf>
    <xf numFmtId="0" fontId="76" fillId="0" borderId="0" xfId="0" applyFont="1">
      <alignment vertical="center"/>
    </xf>
    <xf numFmtId="182" fontId="75" fillId="2" borderId="0" xfId="0" applyNumberFormat="1" applyFont="1" applyFill="1" applyBorder="1" applyAlignment="1">
      <alignment horizontal="right" vertical="center" shrinkToFit="1"/>
    </xf>
    <xf numFmtId="0" fontId="73" fillId="2" borderId="0" xfId="0" applyFont="1" applyFill="1" applyBorder="1" applyAlignment="1">
      <alignment horizontal="right" vertical="center" shrinkToFit="1"/>
    </xf>
    <xf numFmtId="0" fontId="68" fillId="2" borderId="0" xfId="0" applyFont="1" applyFill="1">
      <alignment vertical="center"/>
    </xf>
    <xf numFmtId="0" fontId="77" fillId="0" borderId="0" xfId="0" applyFont="1">
      <alignment vertical="center"/>
    </xf>
    <xf numFmtId="0" fontId="69" fillId="0" borderId="0" xfId="0" applyFont="1">
      <alignment vertical="center"/>
    </xf>
    <xf numFmtId="0" fontId="69" fillId="0" borderId="0" xfId="0" applyFont="1" applyAlignment="1">
      <alignment vertical="center" shrinkToFit="1"/>
    </xf>
    <xf numFmtId="0" fontId="69" fillId="2" borderId="0" xfId="0" applyFont="1" applyFill="1" applyAlignment="1">
      <alignment vertical="center" shrinkToFit="1"/>
    </xf>
    <xf numFmtId="0" fontId="73" fillId="2" borderId="36" xfId="0" applyFont="1" applyFill="1" applyBorder="1" applyAlignment="1">
      <alignment horizontal="left" vertical="center" readingOrder="1"/>
    </xf>
    <xf numFmtId="0" fontId="73" fillId="2" borderId="36" xfId="0" applyFont="1" applyFill="1" applyBorder="1" applyAlignment="1">
      <alignment horizontal="left" vertical="center" wrapText="1" readingOrder="1"/>
    </xf>
    <xf numFmtId="0" fontId="69" fillId="2" borderId="0" xfId="0" applyFont="1" applyFill="1">
      <alignment vertical="center"/>
    </xf>
    <xf numFmtId="0" fontId="51" fillId="2" borderId="0" xfId="0" applyFont="1" applyFill="1">
      <alignment vertical="center"/>
    </xf>
    <xf numFmtId="0" fontId="76" fillId="2" borderId="0" xfId="0" applyFont="1" applyFill="1">
      <alignment vertical="center"/>
    </xf>
    <xf numFmtId="0" fontId="75" fillId="2" borderId="36" xfId="0" applyFont="1" applyFill="1" applyBorder="1" applyAlignment="1">
      <alignment horizontal="center" vertical="center" wrapText="1" readingOrder="1"/>
    </xf>
    <xf numFmtId="0" fontId="78" fillId="8" borderId="37" xfId="0" applyFont="1" applyFill="1" applyBorder="1" applyAlignment="1">
      <alignment horizontal="left" vertical="center" wrapText="1" readingOrder="1"/>
    </xf>
    <xf numFmtId="178" fontId="78" fillId="10" borderId="37" xfId="0" applyNumberFormat="1" applyFont="1" applyFill="1" applyBorder="1" applyAlignment="1">
      <alignment horizontal="right" vertical="center" shrinkToFit="1"/>
    </xf>
    <xf numFmtId="178" fontId="78" fillId="9" borderId="37" xfId="0" applyNumberFormat="1" applyFont="1" applyFill="1" applyBorder="1" applyAlignment="1">
      <alignment horizontal="right" vertical="center" shrinkToFit="1"/>
    </xf>
    <xf numFmtId="181" fontId="78" fillId="10" borderId="37" xfId="0" applyNumberFormat="1" applyFont="1" applyFill="1" applyBorder="1" applyAlignment="1">
      <alignment horizontal="right" vertical="center" shrinkToFit="1"/>
    </xf>
    <xf numFmtId="0" fontId="79" fillId="2" borderId="9" xfId="0" applyFont="1" applyFill="1" applyBorder="1" applyAlignment="1">
      <alignment horizontal="left" vertical="center" wrapText="1" indent="1" readingOrder="1"/>
    </xf>
    <xf numFmtId="178" fontId="79" fillId="2" borderId="9" xfId="0" applyNumberFormat="1" applyFont="1" applyFill="1" applyBorder="1" applyAlignment="1">
      <alignment horizontal="right" vertical="center" shrinkToFit="1"/>
    </xf>
    <xf numFmtId="178" fontId="79" fillId="11" borderId="9" xfId="0" applyNumberFormat="1" applyFont="1" applyFill="1" applyBorder="1" applyAlignment="1">
      <alignment horizontal="right" vertical="center" shrinkToFit="1"/>
    </xf>
    <xf numFmtId="181" fontId="79" fillId="2" borderId="9" xfId="0" applyNumberFormat="1" applyFont="1" applyFill="1" applyBorder="1" applyAlignment="1">
      <alignment horizontal="right" vertical="center" shrinkToFit="1"/>
    </xf>
    <xf numFmtId="0" fontId="79" fillId="2" borderId="9" xfId="0" applyFont="1" applyFill="1" applyBorder="1" applyAlignment="1">
      <alignment horizontal="left" vertical="center" wrapText="1" readingOrder="1"/>
    </xf>
    <xf numFmtId="0" fontId="81" fillId="2" borderId="9" xfId="0" applyFont="1" applyFill="1" applyBorder="1" applyAlignment="1">
      <alignment horizontal="right" vertical="center" wrapText="1" readingOrder="1"/>
    </xf>
    <xf numFmtId="181" fontId="81" fillId="2" borderId="9" xfId="0" applyNumberFormat="1" applyFont="1" applyFill="1" applyBorder="1" applyAlignment="1">
      <alignment horizontal="right" vertical="center" shrinkToFit="1"/>
    </xf>
    <xf numFmtId="0" fontId="78" fillId="8" borderId="9" xfId="0" applyFont="1" applyFill="1" applyBorder="1" applyAlignment="1">
      <alignment horizontal="left" vertical="center" wrapText="1" readingOrder="1"/>
    </xf>
    <xf numFmtId="178" fontId="78" fillId="10" borderId="9" xfId="0" applyNumberFormat="1" applyFont="1" applyFill="1" applyBorder="1" applyAlignment="1">
      <alignment horizontal="right" vertical="center" shrinkToFit="1"/>
    </xf>
    <xf numFmtId="178" fontId="78" fillId="9" borderId="9" xfId="0" applyNumberFormat="1" applyFont="1" applyFill="1" applyBorder="1" applyAlignment="1">
      <alignment horizontal="right" vertical="center" shrinkToFit="1"/>
    </xf>
    <xf numFmtId="181" fontId="78" fillId="10" borderId="9" xfId="0" applyNumberFormat="1" applyFont="1" applyFill="1" applyBorder="1" applyAlignment="1">
      <alignment horizontal="right" vertical="center" shrinkToFit="1"/>
    </xf>
    <xf numFmtId="0" fontId="78" fillId="8" borderId="11" xfId="0" applyFont="1" applyFill="1" applyBorder="1" applyAlignment="1">
      <alignment horizontal="left" vertical="center" wrapText="1" readingOrder="1"/>
    </xf>
    <xf numFmtId="178" fontId="78" fillId="10" borderId="11" xfId="0" applyNumberFormat="1" applyFont="1" applyFill="1" applyBorder="1" applyAlignment="1">
      <alignment horizontal="right" vertical="center" shrinkToFit="1"/>
    </xf>
    <xf numFmtId="178" fontId="78" fillId="9" borderId="11" xfId="0" applyNumberFormat="1" applyFont="1" applyFill="1" applyBorder="1" applyAlignment="1">
      <alignment horizontal="right" vertical="center" shrinkToFit="1"/>
    </xf>
    <xf numFmtId="181" fontId="78" fillId="10" borderId="11" xfId="0" applyNumberFormat="1" applyFont="1" applyFill="1" applyBorder="1" applyAlignment="1">
      <alignment horizontal="right" vertical="center" shrinkToFit="1"/>
    </xf>
    <xf numFmtId="178" fontId="78" fillId="12" borderId="37" xfId="0" applyNumberFormat="1" applyFont="1" applyFill="1" applyBorder="1" applyAlignment="1">
      <alignment horizontal="right" vertical="center" shrinkToFit="1"/>
    </xf>
    <xf numFmtId="178" fontId="76" fillId="0" borderId="0" xfId="0" applyNumberFormat="1" applyFont="1">
      <alignment vertical="center"/>
    </xf>
    <xf numFmtId="178" fontId="79" fillId="13" borderId="9" xfId="0" applyNumberFormat="1" applyFont="1" applyFill="1" applyBorder="1" applyAlignment="1">
      <alignment horizontal="right" vertical="center" shrinkToFit="1"/>
    </xf>
    <xf numFmtId="181" fontId="81" fillId="11" borderId="9" xfId="0" applyNumberFormat="1" applyFont="1" applyFill="1" applyBorder="1" applyAlignment="1">
      <alignment horizontal="right" vertical="center" shrinkToFit="1"/>
    </xf>
    <xf numFmtId="185" fontId="81" fillId="2" borderId="9" xfId="0" applyNumberFormat="1" applyFont="1" applyFill="1" applyBorder="1" applyAlignment="1">
      <alignment horizontal="right" vertical="center" shrinkToFit="1"/>
    </xf>
    <xf numFmtId="178" fontId="78" fillId="12" borderId="9" xfId="0" applyNumberFormat="1" applyFont="1" applyFill="1" applyBorder="1" applyAlignment="1">
      <alignment horizontal="right" vertical="center" shrinkToFit="1"/>
    </xf>
    <xf numFmtId="181" fontId="81" fillId="13" borderId="9" xfId="0" applyNumberFormat="1" applyFont="1" applyFill="1" applyBorder="1" applyAlignment="1">
      <alignment horizontal="right" vertical="center" shrinkToFit="1"/>
    </xf>
    <xf numFmtId="178" fontId="78" fillId="12" borderId="11" xfId="0" applyNumberFormat="1" applyFont="1" applyFill="1" applyBorder="1" applyAlignment="1">
      <alignment horizontal="right" vertical="center" shrinkToFit="1"/>
    </xf>
    <xf numFmtId="0" fontId="79" fillId="2" borderId="10" xfId="0" applyFont="1" applyFill="1" applyBorder="1" applyAlignment="1">
      <alignment horizontal="left" vertical="center" wrapText="1" readingOrder="1"/>
    </xf>
    <xf numFmtId="184" fontId="79" fillId="2" borderId="38" xfId="0" applyNumberFormat="1" applyFont="1" applyFill="1" applyBorder="1" applyAlignment="1">
      <alignment horizontal="right" vertical="center" shrinkToFit="1"/>
    </xf>
    <xf numFmtId="184" fontId="79" fillId="13" borderId="38" xfId="0" applyNumberFormat="1" applyFont="1" applyFill="1" applyBorder="1" applyAlignment="1">
      <alignment horizontal="right" vertical="center" shrinkToFit="1"/>
    </xf>
    <xf numFmtId="0" fontId="79" fillId="2" borderId="11" xfId="0" applyFont="1" applyFill="1" applyBorder="1" applyAlignment="1">
      <alignment horizontal="left" vertical="center" wrapText="1" readingOrder="1"/>
    </xf>
    <xf numFmtId="184" fontId="79" fillId="2" borderId="11" xfId="0" applyNumberFormat="1" applyFont="1" applyFill="1" applyBorder="1" applyAlignment="1">
      <alignment horizontal="right" vertical="center" shrinkToFit="1"/>
    </xf>
    <xf numFmtId="184" fontId="79" fillId="13" borderId="11" xfId="0" applyNumberFormat="1" applyFont="1" applyFill="1" applyBorder="1" applyAlignment="1">
      <alignment horizontal="right" vertical="center" shrinkToFit="1"/>
    </xf>
    <xf numFmtId="181" fontId="79" fillId="2" borderId="11" xfId="0" applyNumberFormat="1" applyFont="1" applyFill="1" applyBorder="1" applyAlignment="1">
      <alignment horizontal="right" vertical="center" shrinkToFit="1"/>
    </xf>
    <xf numFmtId="0" fontId="79" fillId="2" borderId="39" xfId="0" applyFont="1" applyFill="1" applyBorder="1" applyAlignment="1">
      <alignment horizontal="center" vertical="center" wrapText="1" readingOrder="1"/>
    </xf>
    <xf numFmtId="3" fontId="79" fillId="2" borderId="39" xfId="0" applyNumberFormat="1" applyFont="1" applyFill="1" applyBorder="1" applyAlignment="1">
      <alignment horizontal="right" vertical="center" wrapText="1" readingOrder="1"/>
    </xf>
    <xf numFmtId="0" fontId="70" fillId="0" borderId="0" xfId="0" applyFont="1">
      <alignment vertical="center"/>
    </xf>
    <xf numFmtId="0" fontId="79" fillId="2" borderId="40" xfId="0" applyFont="1" applyFill="1" applyBorder="1" applyAlignment="1">
      <alignment horizontal="left" vertical="center" readingOrder="1"/>
    </xf>
    <xf numFmtId="0" fontId="79" fillId="2" borderId="40" xfId="0" applyFont="1" applyFill="1" applyBorder="1" applyAlignment="1">
      <alignment horizontal="center" vertical="center" wrapText="1" readingOrder="1"/>
    </xf>
    <xf numFmtId="3" fontId="79" fillId="2" borderId="40" xfId="0" applyNumberFormat="1" applyFont="1" applyFill="1" applyBorder="1" applyAlignment="1">
      <alignment horizontal="right" vertical="center" wrapText="1" readingOrder="1"/>
    </xf>
    <xf numFmtId="0" fontId="79" fillId="2" borderId="39" xfId="0" applyFont="1" applyFill="1" applyBorder="1" applyAlignment="1">
      <alignment horizontal="left" vertical="center" readingOrder="1"/>
    </xf>
    <xf numFmtId="0" fontId="44" fillId="2" borderId="39" xfId="0" applyFont="1" applyFill="1" applyBorder="1" applyAlignment="1">
      <alignment horizontal="center" vertical="center" wrapText="1"/>
    </xf>
    <xf numFmtId="0" fontId="79" fillId="2" borderId="39" xfId="0" applyFont="1" applyFill="1" applyBorder="1" applyAlignment="1">
      <alignment horizontal="right" vertical="center" wrapText="1" readingOrder="1"/>
    </xf>
    <xf numFmtId="0" fontId="79" fillId="2" borderId="41" xfId="0" applyFont="1" applyFill="1" applyBorder="1" applyAlignment="1">
      <alignment horizontal="left" vertical="center" readingOrder="1"/>
    </xf>
    <xf numFmtId="0" fontId="79" fillId="2" borderId="41" xfId="0" applyFont="1" applyFill="1" applyBorder="1" applyAlignment="1">
      <alignment horizontal="center" vertical="center" wrapText="1" readingOrder="1"/>
    </xf>
    <xf numFmtId="3" fontId="79" fillId="2" borderId="41" xfId="0" applyNumberFormat="1" applyFont="1" applyFill="1" applyBorder="1" applyAlignment="1">
      <alignment horizontal="right" vertical="center" wrapText="1" readingOrder="1"/>
    </xf>
    <xf numFmtId="0" fontId="79" fillId="2" borderId="40" xfId="0" applyFont="1" applyFill="1" applyBorder="1" applyAlignment="1">
      <alignment horizontal="right" vertical="center" wrapText="1" readingOrder="1"/>
    </xf>
    <xf numFmtId="0" fontId="78" fillId="8" borderId="39" xfId="0" applyFont="1" applyFill="1" applyBorder="1" applyAlignment="1">
      <alignment horizontal="left" vertical="center" readingOrder="1"/>
    </xf>
    <xf numFmtId="0" fontId="78" fillId="13" borderId="39" xfId="0" applyFont="1" applyFill="1" applyBorder="1" applyAlignment="1">
      <alignment horizontal="center" vertical="center" wrapText="1" readingOrder="1"/>
    </xf>
    <xf numFmtId="183" fontId="78" fillId="11" borderId="39" xfId="0" applyNumberFormat="1" applyFont="1" applyFill="1" applyBorder="1" applyAlignment="1">
      <alignment horizontal="right" vertical="center" wrapText="1" readingOrder="1"/>
    </xf>
    <xf numFmtId="183" fontId="78" fillId="9" borderId="39" xfId="0" applyNumberFormat="1" applyFont="1" applyFill="1" applyBorder="1" applyAlignment="1">
      <alignment horizontal="right" vertical="center" wrapText="1" readingOrder="1"/>
    </xf>
    <xf numFmtId="183" fontId="79" fillId="2" borderId="40" xfId="0" applyNumberFormat="1" applyFont="1" applyFill="1" applyBorder="1" applyAlignment="1">
      <alignment horizontal="right" vertical="center" wrapText="1" readingOrder="1"/>
    </xf>
    <xf numFmtId="180" fontId="69" fillId="2" borderId="33" xfId="0" applyNumberFormat="1" applyFont="1" applyFill="1" applyBorder="1" applyAlignment="1">
      <alignment vertical="center" shrinkToFit="1"/>
    </xf>
    <xf numFmtId="180" fontId="69" fillId="4" borderId="33" xfId="0" applyNumberFormat="1" applyFont="1" applyFill="1" applyBorder="1" applyAlignment="1">
      <alignment vertical="center" shrinkToFit="1"/>
    </xf>
    <xf numFmtId="180" fontId="69" fillId="0" borderId="33" xfId="0" applyNumberFormat="1" applyFont="1" applyFill="1" applyBorder="1" applyAlignment="1">
      <alignment vertical="center" shrinkToFit="1"/>
    </xf>
    <xf numFmtId="180" fontId="69" fillId="2" borderId="9" xfId="0" applyNumberFormat="1" applyFont="1" applyFill="1" applyBorder="1" applyAlignment="1">
      <alignment vertical="center" shrinkToFit="1"/>
    </xf>
    <xf numFmtId="180" fontId="69" fillId="4" borderId="9" xfId="0" applyNumberFormat="1" applyFont="1" applyFill="1" applyBorder="1" applyAlignment="1">
      <alignment vertical="center" shrinkToFit="1"/>
    </xf>
    <xf numFmtId="180" fontId="69" fillId="0" borderId="9" xfId="0" applyNumberFormat="1" applyFont="1" applyFill="1" applyBorder="1" applyAlignment="1">
      <alignment vertical="center" shrinkToFit="1"/>
    </xf>
    <xf numFmtId="178" fontId="69" fillId="2" borderId="9" xfId="0" applyNumberFormat="1" applyFont="1" applyFill="1" applyBorder="1" applyAlignment="1">
      <alignment vertical="center" shrinkToFit="1"/>
    </xf>
    <xf numFmtId="178" fontId="69" fillId="4" borderId="9" xfId="0" applyNumberFormat="1" applyFont="1" applyFill="1" applyBorder="1" applyAlignment="1">
      <alignment vertical="center" shrinkToFit="1"/>
    </xf>
    <xf numFmtId="178" fontId="69" fillId="0" borderId="9" xfId="0" applyNumberFormat="1" applyFont="1" applyFill="1" applyBorder="1" applyAlignment="1">
      <alignment vertical="center" shrinkToFit="1"/>
    </xf>
    <xf numFmtId="180" fontId="69" fillId="2" borderId="34" xfId="0" applyNumberFormat="1" applyFont="1" applyFill="1" applyBorder="1" applyAlignment="1">
      <alignment vertical="center" shrinkToFit="1"/>
    </xf>
    <xf numFmtId="180" fontId="69" fillId="4" borderId="34" xfId="0" applyNumberFormat="1" applyFont="1" applyFill="1" applyBorder="1" applyAlignment="1">
      <alignment vertical="center" shrinkToFit="1"/>
    </xf>
    <xf numFmtId="180" fontId="69" fillId="0" borderId="34" xfId="0" applyNumberFormat="1" applyFont="1" applyFill="1" applyBorder="1" applyAlignment="1">
      <alignment vertical="center" shrinkToFit="1"/>
    </xf>
    <xf numFmtId="0" fontId="83" fillId="2" borderId="0" xfId="0" applyFont="1" applyFill="1">
      <alignment vertical="center"/>
    </xf>
    <xf numFmtId="0" fontId="48" fillId="0" borderId="0" xfId="0" applyFont="1">
      <alignment vertical="center"/>
    </xf>
    <xf numFmtId="0" fontId="45" fillId="3" borderId="25" xfId="0" applyFont="1" applyFill="1" applyBorder="1" applyAlignment="1">
      <alignment vertical="center" wrapText="1"/>
    </xf>
    <xf numFmtId="3" fontId="45" fillId="3" borderId="18" xfId="0" applyNumberFormat="1" applyFont="1" applyFill="1" applyBorder="1" applyAlignment="1">
      <alignment horizontal="right" vertical="center" wrapText="1"/>
    </xf>
    <xf numFmtId="3" fontId="45" fillId="3" borderId="24" xfId="0" applyNumberFormat="1" applyFont="1" applyFill="1" applyBorder="1" applyAlignment="1">
      <alignment horizontal="right" vertical="center" wrapText="1"/>
    </xf>
    <xf numFmtId="0" fontId="0" fillId="3" borderId="0" xfId="0" applyFill="1">
      <alignment vertical="center"/>
    </xf>
    <xf numFmtId="0" fontId="85" fillId="0" borderId="0" xfId="0" applyFont="1" applyBorder="1" applyAlignment="1">
      <alignment vertical="center" wrapText="1"/>
    </xf>
    <xf numFmtId="0" fontId="0" fillId="6" borderId="0" xfId="0" applyFill="1" applyAlignment="1">
      <alignment vertical="center"/>
    </xf>
    <xf numFmtId="0" fontId="0" fillId="6" borderId="0" xfId="0" applyFill="1">
      <alignment vertical="center"/>
    </xf>
    <xf numFmtId="0" fontId="45" fillId="6" borderId="24" xfId="0" applyFont="1" applyFill="1" applyBorder="1" applyAlignment="1">
      <alignment horizontal="right" vertical="center"/>
    </xf>
    <xf numFmtId="0" fontId="45" fillId="6" borderId="18" xfId="0" applyFont="1" applyFill="1" applyBorder="1" applyAlignment="1">
      <alignment horizontal="right" vertical="center"/>
    </xf>
    <xf numFmtId="0" fontId="45" fillId="2" borderId="25" xfId="0" applyFont="1" applyFill="1" applyBorder="1" applyAlignment="1">
      <alignment vertical="center"/>
    </xf>
    <xf numFmtId="3" fontId="45" fillId="2" borderId="18" xfId="0" applyNumberFormat="1" applyFont="1" applyFill="1" applyBorder="1" applyAlignment="1">
      <alignment horizontal="right" vertical="center"/>
    </xf>
    <xf numFmtId="3" fontId="45" fillId="2" borderId="24" xfId="0" applyNumberFormat="1" applyFont="1" applyFill="1" applyBorder="1" applyAlignment="1">
      <alignment horizontal="right" vertical="center"/>
    </xf>
    <xf numFmtId="0" fontId="0" fillId="3" borderId="0" xfId="0" applyFill="1" applyAlignment="1">
      <alignment vertical="center"/>
    </xf>
    <xf numFmtId="0" fontId="45" fillId="3" borderId="18" xfId="0" applyFont="1" applyFill="1" applyBorder="1" applyAlignment="1">
      <alignment horizontal="right" vertical="center" wrapText="1"/>
    </xf>
    <xf numFmtId="0" fontId="86" fillId="0" borderId="0" xfId="0" applyFont="1">
      <alignment vertical="center"/>
    </xf>
    <xf numFmtId="0" fontId="87" fillId="0" borderId="0" xfId="0" applyFont="1" applyBorder="1" applyAlignment="1">
      <alignment vertical="center" wrapText="1"/>
    </xf>
    <xf numFmtId="176" fontId="8" fillId="4" borderId="1" xfId="0" applyNumberFormat="1" applyFont="1" applyFill="1" applyBorder="1" applyAlignment="1">
      <alignment vertical="center" shrinkToFit="1"/>
    </xf>
    <xf numFmtId="176" fontId="8" fillId="2" borderId="1" xfId="0" applyNumberFormat="1" applyFont="1" applyFill="1" applyBorder="1" applyAlignment="1">
      <alignment vertical="center" shrinkToFit="1"/>
    </xf>
    <xf numFmtId="0" fontId="45" fillId="3" borderId="25" xfId="0" applyFont="1" applyFill="1" applyBorder="1" applyAlignment="1">
      <alignment vertical="center"/>
    </xf>
    <xf numFmtId="3" fontId="45" fillId="3" borderId="18" xfId="0" applyNumberFormat="1" applyFont="1" applyFill="1" applyBorder="1" applyAlignment="1">
      <alignment horizontal="right" vertical="center"/>
    </xf>
    <xf numFmtId="3" fontId="45" fillId="3" borderId="24" xfId="0" applyNumberFormat="1" applyFont="1" applyFill="1" applyBorder="1" applyAlignment="1">
      <alignment horizontal="right" vertical="center"/>
    </xf>
    <xf numFmtId="0" fontId="48" fillId="0" borderId="0" xfId="0" applyFont="1" applyAlignment="1">
      <alignment horizontal="justify" vertical="center" wrapText="1"/>
    </xf>
    <xf numFmtId="0" fontId="45" fillId="5" borderId="18" xfId="0" applyFont="1" applyFill="1" applyBorder="1" applyAlignment="1">
      <alignment horizontal="center" wrapText="1"/>
    </xf>
    <xf numFmtId="3" fontId="45" fillId="0" borderId="18" xfId="0" applyNumberFormat="1" applyFont="1" applyBorder="1" applyAlignment="1">
      <alignment horizontal="right" wrapText="1"/>
    </xf>
    <xf numFmtId="0" fontId="45" fillId="0" borderId="18" xfId="0" applyFont="1" applyBorder="1" applyAlignment="1">
      <alignment horizontal="right" wrapText="1"/>
    </xf>
    <xf numFmtId="0" fontId="45" fillId="5" borderId="25" xfId="0" applyFont="1" applyFill="1" applyBorder="1" applyAlignment="1">
      <alignment horizontal="center" vertical="center" wrapText="1"/>
    </xf>
    <xf numFmtId="0" fontId="45" fillId="5" borderId="24" xfId="0" applyFont="1" applyFill="1" applyBorder="1" applyAlignment="1">
      <alignment horizontal="center" wrapText="1"/>
    </xf>
    <xf numFmtId="0" fontId="45" fillId="0" borderId="25" xfId="0" applyFont="1" applyBorder="1" applyAlignment="1">
      <alignment vertical="top" wrapText="1"/>
    </xf>
    <xf numFmtId="3" fontId="45" fillId="0" borderId="24" xfId="0" applyNumberFormat="1" applyFont="1" applyBorder="1" applyAlignment="1">
      <alignment horizontal="right" wrapText="1"/>
    </xf>
    <xf numFmtId="0" fontId="45" fillId="0" borderId="24" xfId="0" applyFont="1" applyBorder="1" applyAlignment="1">
      <alignment horizontal="right" wrapText="1"/>
    </xf>
    <xf numFmtId="0" fontId="45" fillId="0" borderId="25" xfId="0" applyFont="1" applyBorder="1" applyAlignment="1">
      <alignment wrapText="1"/>
    </xf>
    <xf numFmtId="3" fontId="45" fillId="0" borderId="27" xfId="0" applyNumberFormat="1" applyFont="1" applyBorder="1" applyAlignment="1">
      <alignment horizontal="right" wrapText="1"/>
    </xf>
    <xf numFmtId="3" fontId="45" fillId="0" borderId="28" xfId="0" applyNumberFormat="1" applyFont="1" applyBorder="1" applyAlignment="1">
      <alignment horizontal="right" wrapText="1"/>
    </xf>
    <xf numFmtId="0" fontId="45" fillId="3" borderId="25" xfId="0" applyFont="1" applyFill="1" applyBorder="1" applyAlignment="1">
      <alignment vertical="top" wrapText="1"/>
    </xf>
    <xf numFmtId="3" fontId="45" fillId="3" borderId="18" xfId="0" applyNumberFormat="1" applyFont="1" applyFill="1" applyBorder="1" applyAlignment="1">
      <alignment horizontal="right" wrapText="1"/>
    </xf>
    <xf numFmtId="3" fontId="45" fillId="3" borderId="24" xfId="0" applyNumberFormat="1" applyFont="1" applyFill="1" applyBorder="1" applyAlignment="1">
      <alignment horizontal="right" wrapText="1"/>
    </xf>
    <xf numFmtId="0" fontId="88" fillId="0" borderId="0" xfId="0" applyFont="1" applyAlignment="1">
      <alignment horizontal="justify" vertical="center" wrapText="1"/>
    </xf>
    <xf numFmtId="0" fontId="45" fillId="5" borderId="30" xfId="0" applyFont="1" applyFill="1" applyBorder="1" applyAlignment="1">
      <alignment horizontal="center" wrapText="1"/>
    </xf>
    <xf numFmtId="0" fontId="45" fillId="5" borderId="31" xfId="0" applyFont="1" applyFill="1" applyBorder="1" applyAlignment="1">
      <alignment horizontal="center" wrapText="1"/>
    </xf>
    <xf numFmtId="0" fontId="45" fillId="0" borderId="18" xfId="0" applyFont="1" applyBorder="1" applyAlignment="1">
      <alignment horizontal="right" vertical="top" wrapText="1"/>
    </xf>
    <xf numFmtId="3" fontId="45" fillId="0" borderId="18" xfId="0" applyNumberFormat="1" applyFont="1" applyBorder="1" applyAlignment="1">
      <alignment horizontal="right" vertical="top" wrapText="1"/>
    </xf>
    <xf numFmtId="0" fontId="45" fillId="0" borderId="24" xfId="0" applyFont="1" applyBorder="1" applyAlignment="1">
      <alignment horizontal="right" vertical="top"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3" fontId="45" fillId="0" borderId="27" xfId="0" applyNumberFormat="1" applyFont="1" applyBorder="1" applyAlignment="1">
      <alignment horizontal="right" vertical="top" wrapText="1"/>
    </xf>
    <xf numFmtId="3" fontId="7" fillId="0" borderId="0" xfId="0" applyNumberFormat="1" applyFont="1">
      <alignment vertical="center"/>
    </xf>
    <xf numFmtId="3" fontId="45" fillId="3" borderId="18" xfId="0" applyNumberFormat="1" applyFont="1" applyFill="1" applyBorder="1" applyAlignment="1">
      <alignment horizontal="right" vertical="top" wrapText="1"/>
    </xf>
    <xf numFmtId="3" fontId="5" fillId="6" borderId="0" xfId="0" applyNumberFormat="1" applyFont="1" applyFill="1">
      <alignment vertical="center"/>
    </xf>
    <xf numFmtId="3" fontId="7" fillId="6" borderId="0" xfId="0" applyNumberFormat="1" applyFont="1" applyFill="1">
      <alignment vertical="center"/>
    </xf>
    <xf numFmtId="3" fontId="5" fillId="6" borderId="9" xfId="0" applyNumberFormat="1" applyFont="1" applyFill="1" applyBorder="1">
      <alignment vertical="center"/>
    </xf>
    <xf numFmtId="0" fontId="43" fillId="2" borderId="2" xfId="0" applyFont="1" applyFill="1" applyBorder="1" applyAlignment="1">
      <alignment horizontal="left" vertical="center" indent="1" shrinkToFit="1"/>
    </xf>
    <xf numFmtId="0" fontId="79" fillId="0" borderId="35" xfId="0" applyFont="1" applyBorder="1" applyAlignment="1">
      <alignment vertical="center" wrapText="1" readingOrder="1"/>
    </xf>
    <xf numFmtId="0" fontId="7" fillId="0" borderId="0" xfId="0" applyFont="1">
      <alignment vertical="center"/>
    </xf>
    <xf numFmtId="0" fontId="52" fillId="2" borderId="2" xfId="0" applyFont="1" applyFill="1" applyBorder="1" applyAlignment="1">
      <alignment horizontal="left" vertical="center" indent="1"/>
    </xf>
    <xf numFmtId="0" fontId="52" fillId="2" borderId="2" xfId="0" applyFont="1" applyFill="1" applyBorder="1" applyAlignment="1">
      <alignment horizontal="left" vertical="center" indent="1" shrinkToFit="1"/>
    </xf>
    <xf numFmtId="0" fontId="28" fillId="2" borderId="1" xfId="0" applyFont="1" applyFill="1" applyBorder="1" applyAlignment="1">
      <alignment horizontal="left" vertical="center" indent="2"/>
    </xf>
    <xf numFmtId="3" fontId="7" fillId="6" borderId="9" xfId="0" applyNumberFormat="1" applyFont="1" applyFill="1" applyBorder="1">
      <alignment vertical="center"/>
    </xf>
    <xf numFmtId="0" fontId="50" fillId="2" borderId="0" xfId="0" applyFont="1" applyFill="1" applyAlignment="1">
      <alignment vertical="center" shrinkToFit="1"/>
    </xf>
    <xf numFmtId="0" fontId="90" fillId="2" borderId="0" xfId="0" applyFont="1" applyFill="1" applyAlignment="1">
      <alignment vertical="center" shrinkToFit="1"/>
    </xf>
    <xf numFmtId="9" fontId="36" fillId="2" borderId="0" xfId="0" applyNumberFormat="1" applyFont="1" applyFill="1">
      <alignment vertical="center"/>
    </xf>
    <xf numFmtId="9" fontId="5" fillId="0" borderId="0" xfId="0" applyNumberFormat="1" applyFont="1">
      <alignment vertical="center"/>
    </xf>
    <xf numFmtId="0" fontId="91" fillId="14" borderId="0" xfId="0" applyFont="1" applyFill="1">
      <alignment vertical="center"/>
    </xf>
    <xf numFmtId="0" fontId="92" fillId="14" borderId="0" xfId="0" applyFont="1" applyFill="1" applyAlignment="1">
      <alignment vertical="center" shrinkToFit="1"/>
    </xf>
    <xf numFmtId="0" fontId="79" fillId="2" borderId="0" xfId="0" applyFont="1" applyFill="1" applyBorder="1" applyAlignment="1">
      <alignment horizontal="left" vertical="center" readingOrder="1"/>
    </xf>
    <xf numFmtId="0" fontId="28" fillId="2" borderId="9" xfId="0" applyFont="1" applyFill="1" applyBorder="1" applyAlignment="1">
      <alignment horizontal="left" vertical="center" wrapText="1" indent="1" readingOrder="1"/>
    </xf>
    <xf numFmtId="0" fontId="70" fillId="2" borderId="9" xfId="0" applyFont="1" applyFill="1" applyBorder="1" applyAlignment="1">
      <alignment horizontal="left" vertical="center" wrapText="1" indent="1" readingOrder="1"/>
    </xf>
    <xf numFmtId="0" fontId="94" fillId="0" borderId="0" xfId="0" applyFont="1">
      <alignment vertical="center"/>
    </xf>
    <xf numFmtId="0" fontId="41" fillId="2" borderId="11" xfId="0" applyFont="1" applyFill="1" applyBorder="1" applyAlignment="1">
      <alignment horizontal="left" vertical="center" wrapText="1" shrinkToFit="1" readingOrder="1"/>
    </xf>
    <xf numFmtId="0" fontId="79" fillId="2" borderId="0" xfId="0" applyFont="1" applyFill="1" applyBorder="1" applyAlignment="1">
      <alignment horizontal="left" vertical="center" readingOrder="1"/>
    </xf>
    <xf numFmtId="3" fontId="71" fillId="0" borderId="0" xfId="0" applyNumberFormat="1" applyFont="1" applyAlignment="1">
      <alignment vertical="center" shrinkToFit="1"/>
    </xf>
    <xf numFmtId="0" fontId="52" fillId="6" borderId="1" xfId="0" applyFont="1" applyFill="1" applyBorder="1" applyAlignment="1">
      <alignment vertical="center"/>
    </xf>
    <xf numFmtId="3" fontId="76" fillId="0" borderId="0" xfId="0" applyNumberFormat="1" applyFont="1">
      <alignment vertical="center"/>
    </xf>
    <xf numFmtId="0" fontId="96" fillId="2" borderId="9" xfId="0" applyFont="1" applyFill="1" applyBorder="1" applyAlignment="1">
      <alignment horizontal="left" vertical="center" wrapText="1" indent="1" readingOrder="1"/>
    </xf>
    <xf numFmtId="0" fontId="79" fillId="2" borderId="45" xfId="0" applyFont="1" applyFill="1" applyBorder="1" applyAlignment="1">
      <alignment horizontal="left" vertical="center" shrinkToFit="1" readingOrder="1"/>
    </xf>
    <xf numFmtId="178" fontId="79" fillId="2" borderId="35" xfId="0" applyNumberFormat="1" applyFont="1" applyFill="1" applyBorder="1" applyAlignment="1">
      <alignment horizontal="right" vertical="center" shrinkToFit="1"/>
    </xf>
    <xf numFmtId="178" fontId="79" fillId="13" borderId="35" xfId="0" applyNumberFormat="1" applyFont="1" applyFill="1" applyBorder="1" applyAlignment="1">
      <alignment horizontal="right" vertical="center" shrinkToFit="1"/>
    </xf>
    <xf numFmtId="0" fontId="75" fillId="8" borderId="36" xfId="0" applyFont="1" applyFill="1" applyBorder="1" applyAlignment="1">
      <alignment horizontal="center" vertical="center" shrinkToFit="1"/>
    </xf>
    <xf numFmtId="178" fontId="79" fillId="10" borderId="9" xfId="0" applyNumberFormat="1" applyFont="1" applyFill="1" applyBorder="1" applyAlignment="1">
      <alignment horizontal="right" vertical="center" shrinkToFit="1"/>
    </xf>
    <xf numFmtId="181" fontId="81" fillId="10" borderId="9" xfId="0" applyNumberFormat="1" applyFont="1" applyFill="1" applyBorder="1" applyAlignment="1">
      <alignment horizontal="right" vertical="center" shrinkToFit="1"/>
    </xf>
    <xf numFmtId="178" fontId="78" fillId="8" borderId="9" xfId="0" applyNumberFormat="1" applyFont="1" applyFill="1" applyBorder="1" applyAlignment="1">
      <alignment horizontal="right" vertical="center" shrinkToFit="1"/>
    </xf>
    <xf numFmtId="178" fontId="78" fillId="8" borderId="37" xfId="0" applyNumberFormat="1" applyFont="1" applyFill="1" applyBorder="1" applyAlignment="1">
      <alignment horizontal="right" vertical="center" shrinkToFit="1"/>
    </xf>
    <xf numFmtId="178" fontId="78" fillId="8" borderId="11" xfId="0" applyNumberFormat="1" applyFont="1" applyFill="1" applyBorder="1" applyAlignment="1">
      <alignment horizontal="right" vertical="center" shrinkToFit="1"/>
    </xf>
    <xf numFmtId="0" fontId="75" fillId="12" borderId="36" xfId="0" applyFont="1" applyFill="1" applyBorder="1" applyAlignment="1">
      <alignment horizontal="center" vertical="center" shrinkToFit="1"/>
    </xf>
    <xf numFmtId="178" fontId="79" fillId="10" borderId="35" xfId="0" applyNumberFormat="1" applyFont="1" applyFill="1" applyBorder="1" applyAlignment="1">
      <alignment horizontal="right" vertical="center" shrinkToFit="1"/>
    </xf>
    <xf numFmtId="184" fontId="79" fillId="10" borderId="38" xfId="0" quotePrefix="1" applyNumberFormat="1" applyFont="1" applyFill="1" applyBorder="1" applyAlignment="1">
      <alignment horizontal="right" vertical="center" shrinkToFit="1"/>
    </xf>
    <xf numFmtId="184" fontId="79" fillId="10" borderId="11" xfId="0" applyNumberFormat="1" applyFont="1" applyFill="1" applyBorder="1" applyAlignment="1">
      <alignment horizontal="right" vertical="center" shrinkToFit="1"/>
    </xf>
    <xf numFmtId="178" fontId="8" fillId="2" borderId="0" xfId="0" applyNumberFormat="1" applyFont="1" applyFill="1" applyAlignment="1"/>
    <xf numFmtId="3" fontId="8" fillId="2" borderId="0" xfId="0" applyNumberFormat="1" applyFont="1" applyFill="1" applyAlignment="1"/>
    <xf numFmtId="0" fontId="45" fillId="0" borderId="0" xfId="0" applyFont="1" applyAlignment="1">
      <alignment horizontal="left"/>
    </xf>
    <xf numFmtId="0" fontId="45" fillId="0" borderId="0" xfId="0" applyFont="1" applyAlignment="1">
      <alignment horizontal="right"/>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45" fillId="0" borderId="25" xfId="0" applyFont="1" applyBorder="1" applyAlignment="1">
      <alignment horizontal="left" vertical="top"/>
    </xf>
    <xf numFmtId="0" fontId="45" fillId="0" borderId="18" xfId="0" applyFont="1" applyBorder="1" applyAlignment="1">
      <alignment horizontal="center" vertical="top"/>
    </xf>
    <xf numFmtId="0" fontId="45" fillId="0" borderId="18" xfId="0" applyFont="1" applyBorder="1" applyAlignment="1">
      <alignment horizontal="right" vertical="top"/>
    </xf>
    <xf numFmtId="0" fontId="45" fillId="0" borderId="24" xfId="0" applyFont="1" applyBorder="1" applyAlignment="1">
      <alignment horizontal="right" vertical="top"/>
    </xf>
    <xf numFmtId="3" fontId="45" fillId="0" borderId="18" xfId="0" applyNumberFormat="1" applyFont="1" applyBorder="1" applyAlignment="1">
      <alignment horizontal="right" vertical="top"/>
    </xf>
    <xf numFmtId="3" fontId="45" fillId="0" borderId="24" xfId="0" applyNumberFormat="1" applyFont="1" applyBorder="1" applyAlignment="1">
      <alignment horizontal="right" vertical="top"/>
    </xf>
    <xf numFmtId="0" fontId="45" fillId="0" borderId="26" xfId="0" applyFont="1" applyBorder="1" applyAlignment="1">
      <alignment horizontal="left" vertical="top"/>
    </xf>
    <xf numFmtId="0" fontId="45" fillId="0" borderId="27" xfId="0" applyFont="1" applyBorder="1" applyAlignment="1">
      <alignment horizontal="center" vertical="top"/>
    </xf>
    <xf numFmtId="0" fontId="45" fillId="0" borderId="27" xfId="0" applyFont="1" applyBorder="1" applyAlignment="1">
      <alignment horizontal="right" vertical="top"/>
    </xf>
    <xf numFmtId="3" fontId="45" fillId="0" borderId="27" xfId="0" applyNumberFormat="1" applyFont="1" applyBorder="1" applyAlignment="1">
      <alignment horizontal="right" vertical="top"/>
    </xf>
    <xf numFmtId="0" fontId="45" fillId="0" borderId="0" xfId="0" applyFont="1" applyAlignment="1">
      <alignment horizontal="center" vertical="top"/>
    </xf>
    <xf numFmtId="0" fontId="63" fillId="0" borderId="31" xfId="0" applyFont="1" applyBorder="1" applyAlignment="1">
      <alignment horizontal="center" vertical="center"/>
    </xf>
    <xf numFmtId="0" fontId="45" fillId="0" borderId="0" xfId="0" applyFont="1" applyAlignment="1">
      <alignment vertical="center"/>
    </xf>
    <xf numFmtId="0" fontId="63" fillId="0" borderId="20" xfId="0" applyFont="1" applyBorder="1" applyAlignment="1">
      <alignment vertical="center"/>
    </xf>
    <xf numFmtId="0" fontId="63" fillId="0" borderId="21" xfId="0" applyFont="1" applyBorder="1" applyAlignment="1">
      <alignment vertical="center"/>
    </xf>
    <xf numFmtId="0" fontId="63" fillId="0" borderId="22" xfId="0" applyFont="1" applyBorder="1" applyAlignment="1">
      <alignment vertical="center"/>
    </xf>
    <xf numFmtId="0" fontId="45" fillId="0" borderId="0" xfId="0" applyFont="1" applyBorder="1" applyAlignment="1">
      <alignment vertical="center"/>
    </xf>
    <xf numFmtId="0" fontId="63" fillId="0" borderId="0" xfId="0" applyFont="1" applyBorder="1" applyAlignment="1">
      <alignment vertical="center"/>
    </xf>
    <xf numFmtId="41" fontId="7" fillId="2" borderId="10" xfId="4" applyFont="1" applyFill="1" applyBorder="1">
      <alignment vertical="center"/>
    </xf>
    <xf numFmtId="181" fontId="79" fillId="10" borderId="9" xfId="0" applyNumberFormat="1" applyFont="1" applyFill="1" applyBorder="1" applyAlignment="1">
      <alignment horizontal="right" vertical="center" shrinkToFit="1"/>
    </xf>
    <xf numFmtId="180" fontId="69" fillId="2" borderId="9" xfId="0" applyNumberFormat="1" applyFont="1" applyFill="1" applyBorder="1" applyAlignment="1">
      <alignment horizontal="right" vertical="center" shrinkToFit="1"/>
    </xf>
    <xf numFmtId="0" fontId="22" fillId="2" borderId="12" xfId="0" applyFont="1" applyFill="1" applyBorder="1" applyAlignment="1">
      <alignment horizontal="justify" vertical="top" wrapText="1"/>
    </xf>
    <xf numFmtId="0" fontId="22" fillId="2" borderId="3" xfId="0" applyFont="1" applyFill="1" applyBorder="1" applyAlignment="1">
      <alignment horizontal="justify" vertical="top" wrapText="1"/>
    </xf>
    <xf numFmtId="0" fontId="22" fillId="2" borderId="13" xfId="0" applyFont="1" applyFill="1" applyBorder="1" applyAlignment="1">
      <alignment horizontal="justify" vertical="top" wrapText="1"/>
    </xf>
    <xf numFmtId="0" fontId="22" fillId="2" borderId="14" xfId="0" applyFont="1" applyFill="1" applyBorder="1" applyAlignment="1">
      <alignment horizontal="justify" vertical="top" wrapText="1"/>
    </xf>
    <xf numFmtId="0" fontId="22" fillId="2" borderId="0" xfId="0" applyFont="1" applyFill="1" applyBorder="1" applyAlignment="1">
      <alignment horizontal="justify" vertical="top" wrapText="1"/>
    </xf>
    <xf numFmtId="0" fontId="22" fillId="2" borderId="15" xfId="0" applyFont="1" applyFill="1" applyBorder="1" applyAlignment="1">
      <alignment horizontal="justify" vertical="top" wrapText="1"/>
    </xf>
    <xf numFmtId="0" fontId="22" fillId="2" borderId="16" xfId="0" applyFont="1" applyFill="1" applyBorder="1" applyAlignment="1">
      <alignment horizontal="justify" vertical="top" wrapText="1"/>
    </xf>
    <xf numFmtId="0" fontId="22" fillId="2" borderId="4" xfId="0" applyFont="1" applyFill="1" applyBorder="1" applyAlignment="1">
      <alignment horizontal="justify" vertical="top" wrapText="1"/>
    </xf>
    <xf numFmtId="0" fontId="22" fillId="2" borderId="17" xfId="0" applyFont="1" applyFill="1" applyBorder="1" applyAlignment="1">
      <alignment horizontal="justify" vertical="top" wrapText="1"/>
    </xf>
    <xf numFmtId="0" fontId="37" fillId="3" borderId="0" xfId="0" applyFont="1" applyFill="1" applyAlignment="1">
      <alignment horizontal="center" vertical="center" shrinkToFit="1"/>
    </xf>
    <xf numFmtId="0" fontId="37" fillId="3" borderId="0" xfId="0" applyFont="1" applyFill="1" applyAlignment="1">
      <alignment horizontal="center" vertical="center"/>
    </xf>
    <xf numFmtId="0" fontId="79" fillId="2" borderId="0" xfId="0" applyFont="1" applyFill="1" applyBorder="1" applyAlignment="1">
      <alignment horizontal="left" vertical="center" readingOrder="1"/>
    </xf>
    <xf numFmtId="0" fontId="45" fillId="5" borderId="19" xfId="0" applyFont="1" applyFill="1" applyBorder="1" applyAlignment="1">
      <alignment horizontal="center" vertical="center"/>
    </xf>
    <xf numFmtId="0" fontId="45" fillId="5" borderId="23" xfId="0" applyFont="1" applyFill="1" applyBorder="1" applyAlignment="1">
      <alignment horizontal="center" vertical="center"/>
    </xf>
    <xf numFmtId="0" fontId="45" fillId="5" borderId="20" xfId="0" applyFont="1" applyFill="1" applyBorder="1" applyAlignment="1">
      <alignment horizontal="center" vertical="center"/>
    </xf>
    <xf numFmtId="0" fontId="45" fillId="5" borderId="21" xfId="0" applyFont="1" applyFill="1" applyBorder="1" applyAlignment="1">
      <alignment horizontal="center" vertical="center"/>
    </xf>
    <xf numFmtId="0" fontId="45" fillId="5" borderId="22" xfId="0" applyFont="1" applyFill="1" applyBorder="1" applyAlignment="1">
      <alignment horizontal="center" vertical="center"/>
    </xf>
    <xf numFmtId="0" fontId="45" fillId="5" borderId="42" xfId="0" applyFont="1" applyFill="1" applyBorder="1" applyAlignment="1">
      <alignment horizontal="right" vertical="center" wrapText="1"/>
    </xf>
    <xf numFmtId="0" fontId="45" fillId="5" borderId="43" xfId="0" applyFont="1" applyFill="1" applyBorder="1" applyAlignment="1">
      <alignment horizontal="right" vertical="center" wrapText="1"/>
    </xf>
    <xf numFmtId="0" fontId="45" fillId="5" borderId="22" xfId="0" applyFont="1" applyFill="1" applyBorder="1" applyAlignment="1">
      <alignment horizontal="right" vertical="center" wrapText="1"/>
    </xf>
  </cellXfs>
  <cellStyles count="12">
    <cellStyle name="fa_column_header_top" xfId="11" xr:uid="{00000000-0005-0000-0000-000000000000}"/>
    <cellStyle name="백분율 2" xfId="8" xr:uid="{00000000-0005-0000-0000-000001000000}"/>
    <cellStyle name="쉼표 [0]" xfId="4" builtinId="6"/>
    <cellStyle name="쉼표 [0] 2" xfId="3" xr:uid="{00000000-0005-0000-0000-000003000000}"/>
    <cellStyle name="쉼표 [0] 2 39" xfId="2" xr:uid="{00000000-0005-0000-0000-000004000000}"/>
    <cellStyle name="쉼표 [0] 3" xfId="7" xr:uid="{00000000-0005-0000-0000-000005000000}"/>
    <cellStyle name="쉼표 [0] 3 2 2 2 2 2 3 5" xfId="9" xr:uid="{00000000-0005-0000-0000-000006000000}"/>
    <cellStyle name="표준" xfId="0" builtinId="0"/>
    <cellStyle name="표준 2" xfId="1" xr:uid="{00000000-0005-0000-0000-000008000000}"/>
    <cellStyle name="표준 2 3" xfId="10" xr:uid="{00000000-0005-0000-0000-000009000000}"/>
    <cellStyle name="표준 3" xfId="6" xr:uid="{00000000-0005-0000-0000-00000A000000}"/>
    <cellStyle name="표준 4" xfId="5" xr:uid="{00000000-0005-0000-0000-00000B000000}"/>
  </cellStyles>
  <dxfs count="0"/>
  <tableStyles count="0" defaultTableStyle="TableStyleMedium2" defaultPivotStyle="PivotStyleLight16"/>
  <colors>
    <mruColors>
      <color rgb="FF002965"/>
      <color rgb="FFE31837"/>
      <color rgb="FFB0B7C0"/>
      <color rgb="FFE9EAED"/>
      <color rgb="FF434868"/>
      <color rgb="FFFFE1E9"/>
      <color rgb="FF906D4F"/>
      <color rgb="FFFFB7CA"/>
      <color rgb="FF9AA7C1"/>
      <color rgb="FF859B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125357</xdr:rowOff>
    </xdr:from>
    <xdr:to>
      <xdr:col>10</xdr:col>
      <xdr:colOff>665118</xdr:colOff>
      <xdr:row>30</xdr:row>
      <xdr:rowOff>212912</xdr:rowOff>
    </xdr:to>
    <xdr:pic>
      <xdr:nvPicPr>
        <xdr:cNvPr id="14" name="그림 13" descr="FILAxYPROJECT_STILL_ONLINE_0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44857"/>
          <a:ext cx="6156000" cy="349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123266</xdr:colOff>
      <xdr:row>1</xdr:row>
      <xdr:rowOff>263411</xdr:rowOff>
    </xdr:from>
    <xdr:to>
      <xdr:col>8</xdr:col>
      <xdr:colOff>324970</xdr:colOff>
      <xdr:row>7</xdr:row>
      <xdr:rowOff>44822</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3266" y="476323"/>
          <a:ext cx="4594410" cy="1697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0" lang="en-US" altLang="ko-KR" sz="3000" b="1" i="0" u="none" strike="noStrike" kern="0" cap="none" spc="0" normalizeH="0" baseline="0" noProof="0">
              <a:ln>
                <a:noFill/>
              </a:ln>
              <a:solidFill>
                <a:schemeClr val="tx1"/>
              </a:solidFill>
              <a:effectLst/>
              <a:uLnTx/>
              <a:uFillTx/>
              <a:latin typeface="HelveticaNeueLT Std" panose="020B0604020202020204" pitchFamily="34" charset="0"/>
              <a:ea typeface="+mn-ea"/>
              <a:cs typeface="+mn-cs"/>
            </a:rPr>
            <a:t>FILA Holdings</a:t>
          </a:r>
        </a:p>
        <a:p>
          <a:pPr eaLnBrk="1" fontAlgn="auto" latinLnBrk="0" hangingPunct="1"/>
          <a:r>
            <a:rPr kumimoji="0" lang="en-US" altLang="ko-KR" sz="3000" b="1" i="0" u="none" strike="noStrike" kern="0" cap="none" spc="0" normalizeH="0" baseline="0">
              <a:ln>
                <a:noFill/>
              </a:ln>
              <a:solidFill>
                <a:schemeClr val="tx1"/>
              </a:solidFill>
              <a:effectLst/>
              <a:uLnTx/>
              <a:uFillTx/>
              <a:latin typeface="HelveticaNeueLT Std" panose="020B0604020202020204" pitchFamily="34" charset="0"/>
              <a:ea typeface="+mn-ea"/>
              <a:cs typeface="+mn-cs"/>
            </a:rPr>
            <a:t>Fact sheet</a:t>
          </a:r>
        </a:p>
        <a:p>
          <a:pPr eaLnBrk="1" fontAlgn="auto" latinLnBrk="0" hangingPunct="1"/>
          <a:r>
            <a:rPr kumimoji="0" lang="en-US" altLang="ko-KR" sz="1400" b="1" i="0" u="none" strike="noStrike" kern="0" cap="none" spc="0" normalizeH="0" baseline="0">
              <a:ln>
                <a:noFill/>
              </a:ln>
              <a:solidFill>
                <a:schemeClr val="tx1"/>
              </a:solidFill>
              <a:effectLst/>
              <a:uLnTx/>
              <a:uFillTx/>
              <a:latin typeface="HelveticaNeueLT Std Lt" panose="020B0403020202020204" pitchFamily="34" charset="0"/>
              <a:ea typeface="+mn-ea"/>
              <a:cs typeface="+mn-cs"/>
            </a:rPr>
            <a:t>Q1 2022 Earnings Release</a:t>
          </a:r>
          <a:endParaRPr kumimoji="0" lang="en-US" altLang="ko-KR" sz="1400" b="1" i="0" u="none" strike="noStrike" kern="0" cap="none" spc="0" normalizeH="0" baseline="0" noProof="0">
            <a:ln>
              <a:noFill/>
            </a:ln>
            <a:solidFill>
              <a:schemeClr val="tx1"/>
            </a:solidFill>
            <a:effectLst/>
            <a:uLnTx/>
            <a:uFillTx/>
            <a:latin typeface="HelveticaNeueLT Std Lt" panose="020B0403020202020204" pitchFamily="34" charset="0"/>
            <a:ea typeface="+mn-ea"/>
            <a:cs typeface="+mn-cs"/>
          </a:endParaRPr>
        </a:p>
      </xdr:txBody>
    </xdr:sp>
    <xdr:clientData/>
  </xdr:twoCellAnchor>
  <xdr:twoCellAnchor>
    <xdr:from>
      <xdr:col>0</xdr:col>
      <xdr:colOff>67235</xdr:colOff>
      <xdr:row>1</xdr:row>
      <xdr:rowOff>358588</xdr:rowOff>
    </xdr:from>
    <xdr:to>
      <xdr:col>0</xdr:col>
      <xdr:colOff>67235</xdr:colOff>
      <xdr:row>4</xdr:row>
      <xdr:rowOff>161118</xdr:rowOff>
    </xdr:to>
    <xdr:cxnSp macro="">
      <xdr:nvCxnSpPr>
        <xdr:cNvPr id="16" name="직선 연결선 15">
          <a:extLst>
            <a:ext uri="{FF2B5EF4-FFF2-40B4-BE49-F238E27FC236}">
              <a16:creationId xmlns:a16="http://schemas.microsoft.com/office/drawing/2014/main" id="{00000000-0008-0000-0000-000010000000}"/>
            </a:ext>
          </a:extLst>
        </xdr:cNvPr>
        <xdr:cNvCxnSpPr/>
      </xdr:nvCxnSpPr>
      <xdr:spPr>
        <a:xfrm>
          <a:off x="67235" y="571500"/>
          <a:ext cx="0" cy="1080000"/>
        </a:xfrm>
        <a:prstGeom prst="line">
          <a:avLst/>
        </a:prstGeom>
        <a:ln w="76200">
          <a:solidFill>
            <a:srgbClr val="00296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104775</xdr:colOff>
      <xdr:row>50</xdr:row>
      <xdr:rowOff>0</xdr:rowOff>
    </xdr:from>
    <xdr:to>
      <xdr:col>38</xdr:col>
      <xdr:colOff>685114</xdr:colOff>
      <xdr:row>97</xdr:row>
      <xdr:rowOff>84705</xdr:rowOff>
    </xdr:to>
    <xdr:pic>
      <xdr:nvPicPr>
        <xdr:cNvPr id="2" name="그림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4735175" y="9886950"/>
          <a:ext cx="5485714" cy="81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619125</xdr:colOff>
      <xdr:row>7</xdr:row>
      <xdr:rowOff>19050</xdr:rowOff>
    </xdr:from>
    <xdr:to>
      <xdr:col>29</xdr:col>
      <xdr:colOff>18789</xdr:colOff>
      <xdr:row>29</xdr:row>
      <xdr:rowOff>37559</xdr:rowOff>
    </xdr:to>
    <xdr:pic>
      <xdr:nvPicPr>
        <xdr:cNvPr id="2" name="그림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030575" y="1371600"/>
          <a:ext cx="2085714" cy="41904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jkim19/Dropbox%20(SM%20Warriors)/SM%20IR/IR%20BOOK/3.%20FACTSHEET/SM%20Entertainment%20Financial%20Factsheet(FY19.1Q).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1. BS"/>
      <sheetName val="2. PL"/>
      <sheetName val="3. Segment Information"/>
      <sheetName val="4. Subsidiaries"/>
      <sheetName val="5. Albums"/>
      <sheetName val="Data1_BS"/>
      <sheetName val="Data2_PL"/>
      <sheetName val="Data3_Seg"/>
      <sheetName val="Data4_Subs"/>
      <sheetName val="Data6_A"/>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B2" t="str">
            <v>언어/Language</v>
          </cell>
        </row>
        <row r="3">
          <cell r="B3" t="str">
            <v>한국어</v>
          </cell>
        </row>
        <row r="4">
          <cell r="B4" t="str">
            <v>English</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965"/>
  </sheetPr>
  <dimension ref="A1:K40"/>
  <sheetViews>
    <sheetView view="pageBreakPreview" topLeftCell="A10" zoomScaleNormal="100" zoomScaleSheetLayoutView="100" zoomScalePageLayoutView="85" workbookViewId="0">
      <selection activeCell="A32" sqref="A32:K40"/>
    </sheetView>
  </sheetViews>
  <sheetFormatPr defaultRowHeight="16.5"/>
  <cols>
    <col min="1" max="10" width="7.125" customWidth="1"/>
  </cols>
  <sheetData>
    <row r="1" spans="1:11">
      <c r="A1" s="7"/>
      <c r="B1" s="7"/>
      <c r="C1" s="7"/>
      <c r="D1" s="7"/>
      <c r="E1" s="7"/>
      <c r="F1" s="7"/>
      <c r="G1" s="7"/>
      <c r="H1" s="7"/>
      <c r="I1" s="7"/>
      <c r="J1" s="7"/>
      <c r="K1" s="7"/>
    </row>
    <row r="2" spans="1:11" ht="46.5">
      <c r="A2" s="9"/>
      <c r="B2" s="7"/>
      <c r="C2" s="7"/>
      <c r="D2" s="7"/>
      <c r="E2" s="7"/>
      <c r="F2" s="7"/>
      <c r="G2" s="7"/>
      <c r="H2" s="7"/>
      <c r="I2" s="7"/>
      <c r="J2" s="7"/>
      <c r="K2" s="7"/>
    </row>
    <row r="3" spans="1:11" ht="36.75">
      <c r="A3" s="10"/>
      <c r="B3" s="7"/>
      <c r="D3" s="7"/>
      <c r="E3" s="7"/>
      <c r="F3" s="7"/>
      <c r="G3" s="7"/>
      <c r="H3" s="7"/>
      <c r="I3" s="7"/>
      <c r="K3" s="53"/>
    </row>
    <row r="4" spans="1:11">
      <c r="A4" s="21"/>
      <c r="B4" s="21"/>
      <c r="C4" s="21"/>
      <c r="D4" s="22"/>
      <c r="E4" s="22"/>
      <c r="F4" s="22"/>
      <c r="G4" s="22"/>
      <c r="H4" s="22"/>
      <c r="I4" s="21"/>
      <c r="J4" s="21"/>
      <c r="K4" s="7"/>
    </row>
    <row r="5" spans="1:11">
      <c r="A5" s="21"/>
      <c r="B5" s="21"/>
      <c r="C5" s="21"/>
      <c r="D5" s="22"/>
      <c r="E5" s="22"/>
      <c r="F5" s="22"/>
      <c r="G5" s="22"/>
      <c r="H5" s="22"/>
      <c r="I5" s="21"/>
      <c r="J5" s="21"/>
      <c r="K5" s="7"/>
    </row>
    <row r="6" spans="1:11">
      <c r="A6" s="21"/>
      <c r="B6" s="21"/>
      <c r="C6" s="21"/>
      <c r="D6" s="22"/>
      <c r="E6" s="22"/>
      <c r="F6" s="22"/>
      <c r="G6" s="22"/>
      <c r="H6" s="22"/>
      <c r="I6" s="21"/>
      <c r="J6" s="21"/>
      <c r="K6" s="7"/>
    </row>
    <row r="7" spans="1:11">
      <c r="A7" s="21"/>
      <c r="B7" s="21"/>
      <c r="C7" s="21"/>
      <c r="D7" s="22"/>
      <c r="E7" s="22"/>
      <c r="F7" s="22"/>
      <c r="G7" s="22"/>
      <c r="H7" s="22"/>
      <c r="I7" s="21"/>
      <c r="J7" s="21"/>
      <c r="K7" s="7"/>
    </row>
    <row r="8" spans="1:11">
      <c r="A8" s="21"/>
      <c r="B8" s="21"/>
      <c r="C8" s="21"/>
      <c r="D8" s="22"/>
      <c r="E8" s="22"/>
      <c r="F8" s="22"/>
      <c r="G8" s="22"/>
      <c r="H8" s="22"/>
      <c r="I8" s="21"/>
      <c r="J8" s="21"/>
      <c r="K8" s="7"/>
    </row>
    <row r="9" spans="1:11">
      <c r="A9" s="21"/>
      <c r="B9" s="21"/>
      <c r="C9" s="21"/>
      <c r="D9" s="22"/>
      <c r="E9" s="22"/>
      <c r="F9" s="22"/>
      <c r="G9" s="22"/>
      <c r="H9" s="22"/>
      <c r="I9" s="21"/>
      <c r="J9" s="21"/>
      <c r="K9" s="7"/>
    </row>
    <row r="10" spans="1:11">
      <c r="A10" s="21"/>
      <c r="B10" s="21"/>
      <c r="C10" s="21"/>
      <c r="D10" s="22"/>
      <c r="E10" s="22"/>
      <c r="F10" s="22"/>
      <c r="G10" s="22"/>
      <c r="H10" s="22"/>
      <c r="I10" s="21"/>
      <c r="J10" s="21"/>
      <c r="K10" s="7"/>
    </row>
    <row r="11" spans="1:11">
      <c r="A11" s="21"/>
      <c r="B11" s="21"/>
      <c r="C11" s="21"/>
      <c r="D11" s="21"/>
      <c r="E11" s="21"/>
      <c r="F11" s="21"/>
      <c r="G11" s="21"/>
      <c r="H11" s="21"/>
      <c r="I11" s="21"/>
      <c r="J11" s="21"/>
      <c r="K11" s="7"/>
    </row>
    <row r="12" spans="1:11">
      <c r="A12" s="21"/>
      <c r="B12" s="21"/>
      <c r="C12" s="21"/>
      <c r="D12" s="21"/>
      <c r="E12" s="21"/>
      <c r="F12" s="21"/>
      <c r="G12" s="21"/>
      <c r="H12" s="21"/>
      <c r="I12" s="21"/>
      <c r="J12" s="21"/>
      <c r="K12" s="7"/>
    </row>
    <row r="13" spans="1:11">
      <c r="A13" s="21"/>
      <c r="B13" s="21"/>
      <c r="C13" s="21"/>
      <c r="D13" s="21"/>
      <c r="E13" s="21"/>
      <c r="F13" s="21"/>
      <c r="G13" s="21"/>
      <c r="H13" s="21"/>
      <c r="I13" s="21"/>
      <c r="J13" s="21"/>
      <c r="K13" s="7"/>
    </row>
    <row r="14" spans="1:11">
      <c r="A14" s="21"/>
      <c r="B14" s="21"/>
      <c r="C14" s="21"/>
      <c r="D14" s="21"/>
      <c r="E14" s="21"/>
      <c r="F14" s="21"/>
      <c r="G14" s="21"/>
      <c r="H14" s="21"/>
      <c r="I14" s="21"/>
      <c r="J14" s="21"/>
      <c r="K14" s="7"/>
    </row>
    <row r="15" spans="1:11">
      <c r="A15" s="21"/>
      <c r="B15" s="21"/>
      <c r="C15" s="21"/>
      <c r="D15" s="21"/>
      <c r="E15" s="21"/>
      <c r="F15" s="21"/>
      <c r="G15" s="21"/>
      <c r="H15" s="21"/>
      <c r="I15" s="21"/>
      <c r="J15" s="21"/>
      <c r="K15" s="7"/>
    </row>
    <row r="16" spans="1:11">
      <c r="A16" s="21"/>
      <c r="C16" s="21"/>
      <c r="D16" s="21"/>
      <c r="E16" s="21"/>
      <c r="F16" s="21"/>
      <c r="G16" s="21"/>
      <c r="H16" s="21"/>
      <c r="I16" s="21"/>
      <c r="J16" s="21"/>
      <c r="K16" s="7"/>
    </row>
    <row r="17" spans="1:11">
      <c r="A17" s="21"/>
      <c r="B17" s="21"/>
      <c r="C17" s="21"/>
      <c r="D17" s="21"/>
      <c r="E17" s="21"/>
      <c r="F17" s="21"/>
      <c r="G17" s="21"/>
      <c r="H17" s="21"/>
      <c r="I17" s="21"/>
      <c r="J17" s="21"/>
      <c r="K17" s="7"/>
    </row>
    <row r="18" spans="1:11">
      <c r="A18" s="21"/>
      <c r="B18" s="21"/>
      <c r="C18" s="21"/>
      <c r="D18" s="21"/>
      <c r="E18" s="21"/>
      <c r="F18" s="21"/>
      <c r="G18" s="21"/>
      <c r="H18" s="21"/>
      <c r="I18" s="21"/>
      <c r="J18" s="21"/>
      <c r="K18" s="7"/>
    </row>
    <row r="19" spans="1:11">
      <c r="A19" s="21"/>
      <c r="B19" s="21"/>
      <c r="C19" s="21"/>
      <c r="D19" s="21"/>
      <c r="E19" s="21"/>
      <c r="F19" s="21"/>
      <c r="G19" s="21"/>
      <c r="H19" s="21"/>
      <c r="I19" s="21"/>
      <c r="J19" s="21"/>
      <c r="K19" s="7"/>
    </row>
    <row r="20" spans="1:11">
      <c r="A20" s="21"/>
      <c r="B20" s="21"/>
      <c r="C20" s="21"/>
      <c r="D20" s="21"/>
      <c r="E20" s="21"/>
      <c r="F20" s="21"/>
      <c r="G20" s="21"/>
      <c r="H20" s="21"/>
      <c r="I20" s="21"/>
      <c r="J20" s="21"/>
      <c r="K20" s="7"/>
    </row>
    <row r="21" spans="1:11">
      <c r="A21" s="21"/>
      <c r="B21" s="21"/>
      <c r="C21" s="21"/>
      <c r="D21" s="21"/>
      <c r="E21" s="21"/>
      <c r="F21" s="21"/>
      <c r="G21" s="21"/>
      <c r="H21" s="21"/>
      <c r="I21" s="21"/>
      <c r="J21" s="21"/>
      <c r="K21" s="7"/>
    </row>
    <row r="22" spans="1:11">
      <c r="A22" s="7"/>
      <c r="B22" s="7"/>
      <c r="C22" s="7"/>
      <c r="D22" s="7"/>
      <c r="E22" s="7"/>
      <c r="F22" s="7"/>
      <c r="G22" s="7"/>
      <c r="H22" s="7"/>
      <c r="I22" s="7"/>
      <c r="J22" s="7"/>
      <c r="K22" s="7"/>
    </row>
    <row r="23" spans="1:11">
      <c r="A23" s="7"/>
      <c r="B23" s="7"/>
      <c r="C23" s="7"/>
      <c r="D23" s="7"/>
      <c r="E23" s="7"/>
      <c r="F23" s="7"/>
      <c r="G23" s="7"/>
      <c r="H23" s="7"/>
      <c r="I23" s="7"/>
      <c r="J23" s="7"/>
      <c r="K23" s="7"/>
    </row>
    <row r="24" spans="1:11">
      <c r="A24" s="7"/>
      <c r="B24" s="7"/>
      <c r="C24" s="7"/>
      <c r="D24" s="7"/>
      <c r="E24" s="7"/>
      <c r="F24" s="7"/>
      <c r="G24" s="7"/>
      <c r="H24" s="7"/>
      <c r="I24" s="7"/>
      <c r="J24" s="7"/>
      <c r="K24" s="7"/>
    </row>
    <row r="25" spans="1:11">
      <c r="A25" s="7"/>
      <c r="B25" s="7"/>
      <c r="C25" s="7"/>
      <c r="D25" s="7"/>
      <c r="E25" s="7"/>
      <c r="F25" s="7"/>
      <c r="G25" s="7"/>
      <c r="H25" s="7"/>
      <c r="I25" s="7"/>
      <c r="J25" s="7"/>
      <c r="K25" s="7"/>
    </row>
    <row r="26" spans="1:11" ht="21">
      <c r="A26" s="54"/>
      <c r="B26" s="7"/>
      <c r="C26" s="7"/>
      <c r="D26" s="7"/>
      <c r="E26" s="7"/>
      <c r="F26" s="7"/>
      <c r="G26" s="7"/>
      <c r="H26" s="21"/>
      <c r="I26" s="34"/>
      <c r="J26" s="21"/>
      <c r="K26" s="7"/>
    </row>
    <row r="27" spans="1:11" ht="6.75" customHeight="1">
      <c r="A27" s="54"/>
      <c r="B27" s="7"/>
      <c r="C27" s="7"/>
      <c r="D27" s="7"/>
      <c r="E27" s="7"/>
      <c r="F27" s="7"/>
      <c r="G27" s="7"/>
      <c r="H27" s="7"/>
      <c r="I27" s="7"/>
      <c r="J27" s="7"/>
      <c r="K27" s="7"/>
    </row>
    <row r="28" spans="1:11" ht="18.75">
      <c r="A28" s="11"/>
      <c r="B28" s="7"/>
      <c r="C28" s="7"/>
      <c r="D28" s="7"/>
      <c r="E28" s="7"/>
      <c r="F28" s="7"/>
      <c r="G28" s="7"/>
      <c r="H28" s="7"/>
      <c r="I28" s="7"/>
      <c r="J28" s="7"/>
      <c r="K28" s="7"/>
    </row>
    <row r="29" spans="1:11" ht="18.75" customHeight="1">
      <c r="A29" s="55"/>
      <c r="B29" s="23"/>
      <c r="C29" s="8"/>
      <c r="D29" s="7"/>
      <c r="E29" s="7"/>
      <c r="F29" s="7"/>
      <c r="G29" s="7"/>
      <c r="H29" s="7"/>
      <c r="I29" s="7"/>
      <c r="J29" s="7"/>
      <c r="K29" s="7"/>
    </row>
    <row r="30" spans="1:11" ht="18.75" customHeight="1">
      <c r="A30" s="55"/>
      <c r="B30" s="23"/>
      <c r="C30" s="8"/>
      <c r="D30" s="7"/>
      <c r="E30" s="7"/>
      <c r="F30" s="7"/>
      <c r="G30" s="7"/>
      <c r="H30" s="7"/>
      <c r="I30" s="7"/>
      <c r="J30" s="7"/>
      <c r="K30" s="7"/>
    </row>
    <row r="31" spans="1:11" ht="18.75" customHeight="1">
      <c r="A31" s="55"/>
      <c r="B31" s="23"/>
      <c r="C31" s="8"/>
      <c r="D31" s="7"/>
      <c r="E31" s="7"/>
      <c r="F31" s="7"/>
      <c r="G31" s="7"/>
      <c r="H31" s="7"/>
      <c r="I31" s="7"/>
      <c r="J31" s="7"/>
      <c r="K31" s="7"/>
    </row>
    <row r="32" spans="1:11" ht="12.75" customHeight="1">
      <c r="A32" s="476" t="s">
        <v>669</v>
      </c>
      <c r="B32" s="477"/>
      <c r="C32" s="477"/>
      <c r="D32" s="477"/>
      <c r="E32" s="477"/>
      <c r="F32" s="477"/>
      <c r="G32" s="477"/>
      <c r="H32" s="477"/>
      <c r="I32" s="477"/>
      <c r="J32" s="477"/>
      <c r="K32" s="478"/>
    </row>
    <row r="33" spans="1:11" ht="18.75" customHeight="1">
      <c r="A33" s="479"/>
      <c r="B33" s="480"/>
      <c r="C33" s="480"/>
      <c r="D33" s="480"/>
      <c r="E33" s="480"/>
      <c r="F33" s="480"/>
      <c r="G33" s="480"/>
      <c r="H33" s="480"/>
      <c r="I33" s="480"/>
      <c r="J33" s="480"/>
      <c r="K33" s="481"/>
    </row>
    <row r="34" spans="1:11" ht="5.25" customHeight="1">
      <c r="A34" s="479"/>
      <c r="B34" s="480"/>
      <c r="C34" s="480"/>
      <c r="D34" s="480"/>
      <c r="E34" s="480"/>
      <c r="F34" s="480"/>
      <c r="G34" s="480"/>
      <c r="H34" s="480"/>
      <c r="I34" s="480"/>
      <c r="J34" s="480"/>
      <c r="K34" s="481"/>
    </row>
    <row r="35" spans="1:11" ht="24.75" customHeight="1">
      <c r="A35" s="479"/>
      <c r="B35" s="480"/>
      <c r="C35" s="480"/>
      <c r="D35" s="480"/>
      <c r="E35" s="480"/>
      <c r="F35" s="480"/>
      <c r="G35" s="480"/>
      <c r="H35" s="480"/>
      <c r="I35" s="480"/>
      <c r="J35" s="480"/>
      <c r="K35" s="481"/>
    </row>
    <row r="36" spans="1:11" ht="19.5" customHeight="1">
      <c r="A36" s="479"/>
      <c r="B36" s="480"/>
      <c r="C36" s="480"/>
      <c r="D36" s="480"/>
      <c r="E36" s="480"/>
      <c r="F36" s="480"/>
      <c r="G36" s="480"/>
      <c r="H36" s="480"/>
      <c r="I36" s="480"/>
      <c r="J36" s="480"/>
      <c r="K36" s="481"/>
    </row>
    <row r="37" spans="1:11">
      <c r="A37" s="479"/>
      <c r="B37" s="480"/>
      <c r="C37" s="480"/>
      <c r="D37" s="480"/>
      <c r="E37" s="480"/>
      <c r="F37" s="480"/>
      <c r="G37" s="480"/>
      <c r="H37" s="480"/>
      <c r="I37" s="480"/>
      <c r="J37" s="480"/>
      <c r="K37" s="481"/>
    </row>
    <row r="38" spans="1:11">
      <c r="A38" s="479"/>
      <c r="B38" s="480"/>
      <c r="C38" s="480"/>
      <c r="D38" s="480"/>
      <c r="E38" s="480"/>
      <c r="F38" s="480"/>
      <c r="G38" s="480"/>
      <c r="H38" s="480"/>
      <c r="I38" s="480"/>
      <c r="J38" s="480"/>
      <c r="K38" s="481"/>
    </row>
    <row r="39" spans="1:11">
      <c r="A39" s="479"/>
      <c r="B39" s="480"/>
      <c r="C39" s="480"/>
      <c r="D39" s="480"/>
      <c r="E39" s="480"/>
      <c r="F39" s="480"/>
      <c r="G39" s="480"/>
      <c r="H39" s="480"/>
      <c r="I39" s="480"/>
      <c r="J39" s="480"/>
      <c r="K39" s="481"/>
    </row>
    <row r="40" spans="1:11" ht="29.25" customHeight="1">
      <c r="A40" s="482"/>
      <c r="B40" s="483"/>
      <c r="C40" s="483"/>
      <c r="D40" s="483"/>
      <c r="E40" s="483"/>
      <c r="F40" s="483"/>
      <c r="G40" s="483"/>
      <c r="H40" s="483"/>
      <c r="I40" s="483"/>
      <c r="J40" s="483"/>
      <c r="K40" s="484"/>
    </row>
  </sheetData>
  <mergeCells count="1">
    <mergeCell ref="A32:K40"/>
  </mergeCells>
  <phoneticPr fontId="3" type="noConversion"/>
  <pageMargins left="0.7" right="0.7" top="0.75" bottom="0.75" header="0.3" footer="0.3"/>
  <pageSetup paperSize="9" fitToWidth="0" fitToHeight="0" orientation="portrait" r:id="rId1"/>
  <headerFooter>
    <oddHeader>&amp;C&amp;"HelveticaNeueLT Std Med,보통"&amp;14&amp;KE31837WINNING TOGETHER</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8"/>
  <sheetViews>
    <sheetView topLeftCell="A16" zoomScale="85" zoomScaleNormal="85" workbookViewId="0">
      <selection activeCell="A39" sqref="A39"/>
    </sheetView>
  </sheetViews>
  <sheetFormatPr defaultColWidth="9.375" defaultRowHeight="16.5"/>
  <cols>
    <col min="1" max="1" width="85.125" style="103" bestFit="1" customWidth="1"/>
    <col min="2" max="3" width="17.75" style="103" bestFit="1" customWidth="1"/>
    <col min="4" max="4" width="16" style="103" bestFit="1" customWidth="1"/>
    <col min="5" max="5" width="17.75" style="103" bestFit="1" customWidth="1"/>
    <col min="6" max="16384" width="9.375" style="103"/>
  </cols>
  <sheetData>
    <row r="1" spans="1:3">
      <c r="A1" s="102" t="s">
        <v>195</v>
      </c>
    </row>
    <row r="2" spans="1:3">
      <c r="A2" s="104" t="s">
        <v>324</v>
      </c>
    </row>
    <row r="3" spans="1:3">
      <c r="A3" s="104" t="s">
        <v>325</v>
      </c>
    </row>
    <row r="4" spans="1:3">
      <c r="A4" s="105" t="s">
        <v>125</v>
      </c>
    </row>
    <row r="5" spans="1:3">
      <c r="A5" s="127"/>
      <c r="B5" s="128" t="s">
        <v>326</v>
      </c>
      <c r="C5" s="129" t="s">
        <v>300</v>
      </c>
    </row>
    <row r="6" spans="1:3">
      <c r="A6" s="108" t="s">
        <v>200</v>
      </c>
      <c r="B6" s="111"/>
      <c r="C6" s="112"/>
    </row>
    <row r="7" spans="1:3">
      <c r="A7" s="108" t="s">
        <v>201</v>
      </c>
      <c r="B7" s="109">
        <v>1355198394704</v>
      </c>
      <c r="C7" s="110">
        <v>1154080807587</v>
      </c>
    </row>
    <row r="8" spans="1:3">
      <c r="A8" s="108" t="s">
        <v>202</v>
      </c>
      <c r="B8" s="109">
        <v>136559857971</v>
      </c>
      <c r="C8" s="110">
        <v>107696147903</v>
      </c>
    </row>
    <row r="9" spans="1:3">
      <c r="A9" s="108" t="s">
        <v>203</v>
      </c>
      <c r="B9" s="109">
        <v>587924171196</v>
      </c>
      <c r="C9" s="110">
        <v>387342267614</v>
      </c>
    </row>
    <row r="10" spans="1:3">
      <c r="A10" s="108" t="s">
        <v>204</v>
      </c>
      <c r="B10" s="109">
        <v>558135004351</v>
      </c>
      <c r="C10" s="110">
        <v>578366696630</v>
      </c>
    </row>
    <row r="11" spans="1:3">
      <c r="A11" s="108" t="s">
        <v>205</v>
      </c>
      <c r="B11" s="109">
        <v>4423651582</v>
      </c>
      <c r="C11" s="110">
        <v>24586590055</v>
      </c>
    </row>
    <row r="12" spans="1:3">
      <c r="A12" s="108" t="s">
        <v>301</v>
      </c>
      <c r="B12" s="109">
        <v>11669237113</v>
      </c>
      <c r="C12" s="112"/>
    </row>
    <row r="13" spans="1:3">
      <c r="A13" s="108" t="s">
        <v>302</v>
      </c>
      <c r="B13" s="109">
        <v>5634469598</v>
      </c>
      <c r="C13" s="110">
        <v>5008803571</v>
      </c>
    </row>
    <row r="14" spans="1:3">
      <c r="A14" s="108" t="s">
        <v>209</v>
      </c>
      <c r="B14" s="109">
        <v>3208166307</v>
      </c>
      <c r="C14" s="110">
        <v>2019366217</v>
      </c>
    </row>
    <row r="15" spans="1:3">
      <c r="A15" s="108" t="s">
        <v>210</v>
      </c>
      <c r="B15" s="109">
        <v>47643836586</v>
      </c>
      <c r="C15" s="110">
        <v>49060935597</v>
      </c>
    </row>
    <row r="16" spans="1:3">
      <c r="A16" s="108" t="s">
        <v>211</v>
      </c>
      <c r="B16" s="109">
        <v>2019581569840</v>
      </c>
      <c r="C16" s="110">
        <v>1924843410552</v>
      </c>
    </row>
    <row r="17" spans="1:3">
      <c r="A17" s="108" t="s">
        <v>212</v>
      </c>
      <c r="B17" s="109">
        <v>18255192686</v>
      </c>
      <c r="C17" s="110">
        <v>18309873622</v>
      </c>
    </row>
    <row r="18" spans="1:3">
      <c r="A18" s="108" t="s">
        <v>213</v>
      </c>
      <c r="B18" s="109">
        <v>18722107370</v>
      </c>
      <c r="C18" s="110">
        <v>16800208225</v>
      </c>
    </row>
    <row r="19" spans="1:3">
      <c r="A19" s="108" t="s">
        <v>214</v>
      </c>
      <c r="B19" s="109">
        <v>349020562340</v>
      </c>
      <c r="C19" s="110">
        <v>323527080610</v>
      </c>
    </row>
    <row r="20" spans="1:3">
      <c r="A20" s="108" t="s">
        <v>215</v>
      </c>
      <c r="B20" s="109">
        <v>1492780821183</v>
      </c>
      <c r="C20" s="110">
        <v>1440427166767</v>
      </c>
    </row>
    <row r="21" spans="1:3">
      <c r="A21" s="108" t="s">
        <v>303</v>
      </c>
      <c r="B21" s="109">
        <v>38486606075</v>
      </c>
      <c r="C21" s="110">
        <v>26562351295</v>
      </c>
    </row>
    <row r="22" spans="1:3">
      <c r="A22" s="108" t="s">
        <v>304</v>
      </c>
      <c r="B22" s="111"/>
      <c r="C22" s="110">
        <v>3100000000</v>
      </c>
    </row>
    <row r="23" spans="1:3">
      <c r="A23" s="108" t="s">
        <v>305</v>
      </c>
      <c r="B23" s="109">
        <v>3100000000</v>
      </c>
      <c r="C23" s="112"/>
    </row>
    <row r="24" spans="1:3">
      <c r="A24" s="108" t="s">
        <v>306</v>
      </c>
      <c r="B24" s="109">
        <v>898445806</v>
      </c>
      <c r="C24" s="110">
        <v>601969304</v>
      </c>
    </row>
    <row r="25" spans="1:3">
      <c r="A25" s="108" t="s">
        <v>219</v>
      </c>
      <c r="B25" s="109">
        <v>92318147782</v>
      </c>
      <c r="C25" s="110">
        <v>89760401069</v>
      </c>
    </row>
    <row r="26" spans="1:3">
      <c r="A26" s="108" t="s">
        <v>220</v>
      </c>
      <c r="B26" s="109">
        <v>5999686598</v>
      </c>
      <c r="C26" s="110">
        <v>5754359660</v>
      </c>
    </row>
    <row r="27" spans="1:3">
      <c r="A27" s="108" t="s">
        <v>221</v>
      </c>
      <c r="B27" s="109">
        <v>3374779964544</v>
      </c>
      <c r="C27" s="110">
        <v>3078924218139</v>
      </c>
    </row>
    <row r="28" spans="1:3">
      <c r="A28" s="108" t="s">
        <v>222</v>
      </c>
      <c r="B28" s="111"/>
      <c r="C28" s="112"/>
    </row>
    <row r="29" spans="1:3">
      <c r="A29" s="108" t="s">
        <v>223</v>
      </c>
      <c r="B29" s="109">
        <v>687961680019</v>
      </c>
      <c r="C29" s="110">
        <v>694580575337</v>
      </c>
    </row>
    <row r="30" spans="1:3">
      <c r="A30" s="108" t="s">
        <v>224</v>
      </c>
      <c r="B30" s="109">
        <v>382915951905</v>
      </c>
      <c r="C30" s="110">
        <v>330386252203</v>
      </c>
    </row>
    <row r="31" spans="1:3">
      <c r="A31" s="108" t="s">
        <v>225</v>
      </c>
      <c r="B31" s="109">
        <v>202701901672</v>
      </c>
      <c r="C31" s="110">
        <v>212671087919</v>
      </c>
    </row>
    <row r="32" spans="1:3">
      <c r="A32" s="108" t="s">
        <v>255</v>
      </c>
      <c r="B32" s="111"/>
      <c r="C32" s="110">
        <v>69557635152</v>
      </c>
    </row>
    <row r="33" spans="1:3">
      <c r="A33" s="108" t="s">
        <v>226</v>
      </c>
      <c r="B33" s="109">
        <v>353577787</v>
      </c>
      <c r="C33" s="110">
        <v>2888117267</v>
      </c>
    </row>
    <row r="34" spans="1:3">
      <c r="A34" s="108" t="s">
        <v>227</v>
      </c>
      <c r="B34" s="109">
        <v>2163847826</v>
      </c>
      <c r="C34" s="110">
        <v>6899373019</v>
      </c>
    </row>
    <row r="35" spans="1:3">
      <c r="A35" s="108" t="s">
        <v>229</v>
      </c>
      <c r="B35" s="109">
        <v>26586468316</v>
      </c>
      <c r="C35" s="110">
        <v>51940453067</v>
      </c>
    </row>
    <row r="36" spans="1:3">
      <c r="A36" s="108" t="s">
        <v>327</v>
      </c>
      <c r="B36" s="109">
        <v>48570732907</v>
      </c>
      <c r="C36" s="112"/>
    </row>
    <row r="37" spans="1:3">
      <c r="A37" s="108" t="s">
        <v>231</v>
      </c>
      <c r="B37" s="109">
        <v>24669199606</v>
      </c>
      <c r="C37" s="110">
        <v>20237656710</v>
      </c>
    </row>
    <row r="38" spans="1:3">
      <c r="A38" s="108" t="s">
        <v>232</v>
      </c>
      <c r="B38" s="109">
        <v>1227724472467</v>
      </c>
      <c r="C38" s="110">
        <v>1150013685504</v>
      </c>
    </row>
    <row r="39" spans="1:3">
      <c r="A39" s="108" t="s">
        <v>233</v>
      </c>
      <c r="B39" s="109">
        <v>14174939695</v>
      </c>
      <c r="C39" s="110">
        <v>19274386169</v>
      </c>
    </row>
    <row r="40" spans="1:3" s="368" customFormat="1">
      <c r="A40" s="139" t="s">
        <v>234</v>
      </c>
      <c r="B40" s="140">
        <v>857649701194</v>
      </c>
      <c r="C40" s="141">
        <v>855613734937</v>
      </c>
    </row>
    <row r="41" spans="1:3" s="368" customFormat="1">
      <c r="A41" s="139" t="s">
        <v>235</v>
      </c>
      <c r="B41" s="140">
        <v>61265693977</v>
      </c>
      <c r="C41" s="370"/>
    </row>
    <row r="42" spans="1:3" s="368" customFormat="1">
      <c r="A42" s="139" t="s">
        <v>236</v>
      </c>
      <c r="B42" s="140">
        <v>481536836</v>
      </c>
      <c r="C42" s="141">
        <v>5901047278</v>
      </c>
    </row>
    <row r="43" spans="1:3" s="368" customFormat="1">
      <c r="A43" s="139" t="s">
        <v>307</v>
      </c>
      <c r="B43" s="140">
        <v>353974869</v>
      </c>
      <c r="C43" s="141">
        <v>296146745</v>
      </c>
    </row>
    <row r="44" spans="1:3" s="368" customFormat="1">
      <c r="A44" s="139" t="s">
        <v>308</v>
      </c>
      <c r="B44" s="140">
        <v>174268049032</v>
      </c>
      <c r="C44" s="141">
        <v>163410762057</v>
      </c>
    </row>
    <row r="45" spans="1:3" s="368" customFormat="1">
      <c r="A45" s="139" t="s">
        <v>239</v>
      </c>
      <c r="B45" s="140">
        <v>91519426688</v>
      </c>
      <c r="C45" s="141">
        <v>75846892366</v>
      </c>
    </row>
    <row r="46" spans="1:3">
      <c r="A46" s="108" t="s">
        <v>240</v>
      </c>
      <c r="B46" s="109">
        <v>26031167391</v>
      </c>
      <c r="C46" s="110">
        <v>29670715952</v>
      </c>
    </row>
    <row r="47" spans="1:3">
      <c r="A47" s="108" t="s">
        <v>328</v>
      </c>
      <c r="B47" s="109">
        <v>1979982785</v>
      </c>
      <c r="C47" s="112"/>
    </row>
    <row r="48" spans="1:3">
      <c r="A48" s="108" t="s">
        <v>242</v>
      </c>
      <c r="B48" s="109">
        <v>1915686152486</v>
      </c>
      <c r="C48" s="110">
        <v>1844594260841</v>
      </c>
    </row>
    <row r="49" spans="1:5">
      <c r="A49" s="108" t="s">
        <v>243</v>
      </c>
      <c r="B49" s="111"/>
      <c r="C49" s="112"/>
    </row>
    <row r="50" spans="1:5">
      <c r="A50" s="108" t="s">
        <v>244</v>
      </c>
      <c r="B50" s="109">
        <v>954594254989</v>
      </c>
      <c r="C50" s="110">
        <v>798990293889</v>
      </c>
    </row>
    <row r="51" spans="1:5">
      <c r="A51" s="108" t="s">
        <v>245</v>
      </c>
      <c r="B51" s="109">
        <v>61115070000</v>
      </c>
      <c r="C51" s="110">
        <v>61115070000</v>
      </c>
    </row>
    <row r="52" spans="1:5">
      <c r="A52" s="108" t="s">
        <v>246</v>
      </c>
      <c r="B52" s="109">
        <v>117766679366</v>
      </c>
      <c r="C52" s="110">
        <v>117766679366</v>
      </c>
    </row>
    <row r="53" spans="1:5">
      <c r="A53" s="108" t="s">
        <v>247</v>
      </c>
      <c r="B53" s="109">
        <v>-16778526284</v>
      </c>
      <c r="C53" s="110">
        <v>-13089144096</v>
      </c>
    </row>
    <row r="54" spans="1:5">
      <c r="A54" s="108" t="s">
        <v>248</v>
      </c>
      <c r="B54" s="109">
        <v>10471630906</v>
      </c>
      <c r="C54" s="110">
        <v>-46461317240</v>
      </c>
    </row>
    <row r="55" spans="1:5">
      <c r="A55" s="108" t="s">
        <v>309</v>
      </c>
      <c r="B55" s="109">
        <v>782019401001</v>
      </c>
      <c r="C55" s="110">
        <v>679659005859</v>
      </c>
    </row>
    <row r="56" spans="1:5">
      <c r="A56" s="108" t="s">
        <v>157</v>
      </c>
      <c r="B56" s="109">
        <v>504499557069</v>
      </c>
      <c r="C56" s="110">
        <v>435339663409</v>
      </c>
    </row>
    <row r="57" spans="1:5">
      <c r="A57" s="108" t="s">
        <v>250</v>
      </c>
      <c r="B57" s="109">
        <v>1459093812058</v>
      </c>
      <c r="C57" s="110">
        <v>1234329957298</v>
      </c>
    </row>
    <row r="58" spans="1:5">
      <c r="A58" s="113" t="s">
        <v>251</v>
      </c>
      <c r="B58" s="114">
        <v>3374779964544</v>
      </c>
      <c r="C58" s="123">
        <v>3078924218139</v>
      </c>
    </row>
    <row r="59" spans="1:5">
      <c r="A59" s="133"/>
    </row>
    <row r="60" spans="1:5">
      <c r="A60" s="102" t="s">
        <v>122</v>
      </c>
    </row>
    <row r="61" spans="1:5">
      <c r="A61" s="104" t="s">
        <v>166</v>
      </c>
    </row>
    <row r="62" spans="1:5">
      <c r="A62" s="104" t="s">
        <v>329</v>
      </c>
    </row>
    <row r="63" spans="1:5">
      <c r="A63" s="105" t="s">
        <v>125</v>
      </c>
    </row>
    <row r="64" spans="1:5">
      <c r="A64" s="488"/>
      <c r="B64" s="490" t="s">
        <v>168</v>
      </c>
      <c r="C64" s="491"/>
      <c r="D64" s="490" t="s">
        <v>330</v>
      </c>
      <c r="E64" s="492"/>
    </row>
    <row r="65" spans="1:5">
      <c r="A65" s="489"/>
      <c r="B65" s="106" t="s">
        <v>128</v>
      </c>
      <c r="C65" s="106" t="s">
        <v>129</v>
      </c>
      <c r="D65" s="106" t="s">
        <v>128</v>
      </c>
      <c r="E65" s="107" t="s">
        <v>129</v>
      </c>
    </row>
    <row r="66" spans="1:5">
      <c r="A66" s="108" t="s">
        <v>130</v>
      </c>
      <c r="B66" s="109">
        <v>790169657270</v>
      </c>
      <c r="C66" s="109">
        <v>1467086764713</v>
      </c>
      <c r="D66" s="109">
        <v>692867158635</v>
      </c>
      <c r="E66" s="110">
        <v>1346567983064</v>
      </c>
    </row>
    <row r="67" spans="1:5">
      <c r="A67" s="108" t="s">
        <v>131</v>
      </c>
      <c r="B67" s="109">
        <v>385876285373</v>
      </c>
      <c r="C67" s="109">
        <v>720795467803</v>
      </c>
      <c r="D67" s="109">
        <v>341238424837</v>
      </c>
      <c r="E67" s="110">
        <v>687362858337</v>
      </c>
    </row>
    <row r="68" spans="1:5">
      <c r="A68" s="108" t="s">
        <v>132</v>
      </c>
      <c r="B68" s="109">
        <v>404293371897</v>
      </c>
      <c r="C68" s="109">
        <v>746291296910</v>
      </c>
      <c r="D68" s="109">
        <v>351628733798</v>
      </c>
      <c r="E68" s="110">
        <v>659205124727</v>
      </c>
    </row>
    <row r="69" spans="1:5">
      <c r="A69" s="108" t="s">
        <v>133</v>
      </c>
      <c r="B69" s="109">
        <v>288639124536</v>
      </c>
      <c r="C69" s="109">
        <v>545704895215</v>
      </c>
      <c r="D69" s="109">
        <v>270067849072</v>
      </c>
      <c r="E69" s="110">
        <v>528762496625</v>
      </c>
    </row>
    <row r="70" spans="1:5">
      <c r="A70" s="108" t="s">
        <v>134</v>
      </c>
      <c r="B70" s="109">
        <v>115654247361</v>
      </c>
      <c r="C70" s="109">
        <v>200586401695</v>
      </c>
      <c r="D70" s="109">
        <v>81560884726</v>
      </c>
      <c r="E70" s="110">
        <v>130442628102</v>
      </c>
    </row>
    <row r="71" spans="1:5">
      <c r="A71" s="108" t="s">
        <v>312</v>
      </c>
      <c r="B71" s="109">
        <v>1771866151</v>
      </c>
      <c r="C71" s="109">
        <v>3015547735</v>
      </c>
      <c r="D71" s="109">
        <v>310756386</v>
      </c>
      <c r="E71" s="110">
        <v>1159215523</v>
      </c>
    </row>
    <row r="72" spans="1:5">
      <c r="A72" s="108" t="s">
        <v>313</v>
      </c>
      <c r="B72" s="109">
        <v>2524875796</v>
      </c>
      <c r="C72" s="109">
        <v>3296216856</v>
      </c>
      <c r="D72" s="109">
        <v>757334671</v>
      </c>
      <c r="E72" s="110">
        <v>3256892936</v>
      </c>
    </row>
    <row r="73" spans="1:5">
      <c r="A73" s="108" t="s">
        <v>138</v>
      </c>
      <c r="B73" s="109">
        <v>6982134970</v>
      </c>
      <c r="C73" s="109">
        <v>15925270170</v>
      </c>
      <c r="D73" s="109">
        <v>9364411685</v>
      </c>
      <c r="E73" s="110">
        <v>25686972164</v>
      </c>
    </row>
    <row r="74" spans="1:5">
      <c r="A74" s="108" t="s">
        <v>137</v>
      </c>
      <c r="B74" s="109">
        <v>345973350</v>
      </c>
      <c r="C74" s="109">
        <v>953583203</v>
      </c>
      <c r="D74" s="109">
        <v>-287514091</v>
      </c>
      <c r="E74" s="110">
        <v>718521663</v>
      </c>
    </row>
    <row r="75" spans="1:5">
      <c r="A75" s="108" t="s">
        <v>314</v>
      </c>
      <c r="B75" s="109">
        <v>25544171814</v>
      </c>
      <c r="C75" s="109">
        <v>44635944539</v>
      </c>
      <c r="D75" s="109">
        <v>16233901029</v>
      </c>
      <c r="E75" s="110">
        <v>44514641403</v>
      </c>
    </row>
    <row r="76" spans="1:5">
      <c r="A76" s="108" t="s">
        <v>315</v>
      </c>
      <c r="B76" s="109">
        <v>6066237242</v>
      </c>
      <c r="C76" s="109">
        <v>10952232784</v>
      </c>
      <c r="D76" s="109">
        <v>3786039686</v>
      </c>
      <c r="E76" s="110">
        <v>5680682958</v>
      </c>
    </row>
    <row r="77" spans="1:5">
      <c r="A77" s="108" t="s">
        <v>141</v>
      </c>
      <c r="B77" s="109">
        <v>102751411464</v>
      </c>
      <c r="C77" s="109">
        <v>183500874192</v>
      </c>
      <c r="D77" s="109">
        <v>77743342692</v>
      </c>
      <c r="E77" s="110">
        <v>115916486071</v>
      </c>
    </row>
    <row r="78" spans="1:5">
      <c r="A78" s="108" t="s">
        <v>169</v>
      </c>
      <c r="B78" s="109">
        <v>21612495337</v>
      </c>
      <c r="C78" s="109">
        <v>22625694459</v>
      </c>
      <c r="D78" s="109">
        <v>30983647975</v>
      </c>
      <c r="E78" s="110">
        <v>43617671372</v>
      </c>
    </row>
    <row r="79" spans="1:5">
      <c r="A79" s="108" t="s">
        <v>163</v>
      </c>
      <c r="B79" s="109">
        <v>81138916127</v>
      </c>
      <c r="C79" s="109">
        <v>160875179733</v>
      </c>
      <c r="D79" s="109">
        <v>46759694717</v>
      </c>
      <c r="E79" s="110">
        <v>72298814699</v>
      </c>
    </row>
    <row r="80" spans="1:5">
      <c r="A80" s="108" t="s">
        <v>144</v>
      </c>
      <c r="B80" s="109">
        <v>72927882770</v>
      </c>
      <c r="C80" s="109">
        <v>67944416845</v>
      </c>
      <c r="D80" s="109">
        <v>35933979629</v>
      </c>
      <c r="E80" s="110">
        <v>-90608279560</v>
      </c>
    </row>
    <row r="81" spans="1:5">
      <c r="A81" s="108" t="s">
        <v>145</v>
      </c>
      <c r="B81" s="109">
        <v>1131837494</v>
      </c>
      <c r="C81" s="109">
        <v>1338901325</v>
      </c>
      <c r="D81" s="109">
        <v>1817084937</v>
      </c>
      <c r="E81" s="110">
        <v>-41089682195</v>
      </c>
    </row>
    <row r="82" spans="1:5">
      <c r="A82" s="108" t="s">
        <v>316</v>
      </c>
      <c r="B82" s="109">
        <v>1223149287</v>
      </c>
      <c r="C82" s="109">
        <v>2570409655</v>
      </c>
      <c r="D82" s="109">
        <v>1817084937</v>
      </c>
      <c r="E82" s="110">
        <v>-41089682195</v>
      </c>
    </row>
    <row r="83" spans="1:5">
      <c r="A83" s="108" t="s">
        <v>171</v>
      </c>
      <c r="B83" s="109">
        <v>-91311793</v>
      </c>
      <c r="C83" s="109">
        <v>-1231508330</v>
      </c>
      <c r="D83" s="111"/>
      <c r="E83" s="112"/>
    </row>
    <row r="84" spans="1:5">
      <c r="A84" s="108" t="s">
        <v>147</v>
      </c>
      <c r="B84" s="109">
        <v>71796045276</v>
      </c>
      <c r="C84" s="109">
        <v>66605515520</v>
      </c>
      <c r="D84" s="109">
        <v>34116894692</v>
      </c>
      <c r="E84" s="110">
        <v>-49518597365</v>
      </c>
    </row>
    <row r="85" spans="1:5">
      <c r="A85" s="108" t="s">
        <v>148</v>
      </c>
      <c r="B85" s="109">
        <v>-1851257446</v>
      </c>
      <c r="C85" s="109">
        <v>-689849592</v>
      </c>
      <c r="D85" s="109">
        <v>266867041</v>
      </c>
      <c r="E85" s="110">
        <v>499885989</v>
      </c>
    </row>
    <row r="86" spans="1:5">
      <c r="A86" s="108" t="s">
        <v>149</v>
      </c>
      <c r="B86" s="109">
        <v>68238615448</v>
      </c>
      <c r="C86" s="109">
        <v>64016101963</v>
      </c>
      <c r="D86" s="109">
        <v>33901624972</v>
      </c>
      <c r="E86" s="110">
        <v>-37221728743</v>
      </c>
    </row>
    <row r="87" spans="1:5">
      <c r="A87" s="108" t="s">
        <v>187</v>
      </c>
      <c r="B87" s="111"/>
      <c r="C87" s="111"/>
      <c r="D87" s="109">
        <v>124262279</v>
      </c>
      <c r="E87" s="110">
        <v>-85442311</v>
      </c>
    </row>
    <row r="88" spans="1:5">
      <c r="A88" s="108" t="s">
        <v>317</v>
      </c>
      <c r="B88" s="109">
        <v>5408687274</v>
      </c>
      <c r="C88" s="109">
        <v>3279263149</v>
      </c>
      <c r="D88" s="109">
        <v>-175859600</v>
      </c>
      <c r="E88" s="110">
        <v>-12711312300</v>
      </c>
    </row>
    <row r="89" spans="1:5">
      <c r="A89" s="108" t="s">
        <v>164</v>
      </c>
      <c r="B89" s="109">
        <v>154066798897</v>
      </c>
      <c r="C89" s="109">
        <v>228819596578</v>
      </c>
      <c r="D89" s="109">
        <v>82693674346</v>
      </c>
      <c r="E89" s="110">
        <v>-18309464861</v>
      </c>
    </row>
    <row r="90" spans="1:5">
      <c r="A90" s="108" t="s">
        <v>189</v>
      </c>
      <c r="B90" s="111"/>
      <c r="C90" s="111"/>
      <c r="D90" s="111"/>
      <c r="E90" s="112"/>
    </row>
    <row r="91" spans="1:5">
      <c r="A91" s="108" t="s">
        <v>318</v>
      </c>
      <c r="B91" s="109">
        <v>65741443645</v>
      </c>
      <c r="C91" s="109">
        <v>103854812819</v>
      </c>
      <c r="D91" s="109">
        <v>29201525821</v>
      </c>
      <c r="E91" s="110">
        <v>38215579245</v>
      </c>
    </row>
    <row r="92" spans="1:5">
      <c r="A92" s="108" t="s">
        <v>319</v>
      </c>
      <c r="B92" s="109">
        <v>15397472482</v>
      </c>
      <c r="C92" s="109">
        <v>57020366914</v>
      </c>
      <c r="D92" s="109">
        <v>17558168896</v>
      </c>
      <c r="E92" s="110">
        <v>34083235454</v>
      </c>
    </row>
    <row r="93" spans="1:5">
      <c r="A93" s="108" t="s">
        <v>320</v>
      </c>
      <c r="B93" s="111"/>
      <c r="C93" s="111"/>
      <c r="D93" s="111"/>
      <c r="E93" s="112"/>
    </row>
    <row r="94" spans="1:5">
      <c r="A94" s="108" t="s">
        <v>321</v>
      </c>
      <c r="B94" s="109">
        <v>109071380628</v>
      </c>
      <c r="C94" s="109">
        <v>162460491926</v>
      </c>
      <c r="D94" s="109">
        <v>69197129428</v>
      </c>
      <c r="E94" s="110">
        <v>-26034722591</v>
      </c>
    </row>
    <row r="95" spans="1:5">
      <c r="A95" s="108" t="s">
        <v>322</v>
      </c>
      <c r="B95" s="109">
        <v>44995418269</v>
      </c>
      <c r="C95" s="109">
        <v>66359104652</v>
      </c>
      <c r="D95" s="109">
        <v>13496544918</v>
      </c>
      <c r="E95" s="110">
        <v>7725257730</v>
      </c>
    </row>
    <row r="96" spans="1:5">
      <c r="A96" s="108" t="s">
        <v>158</v>
      </c>
      <c r="B96" s="111"/>
      <c r="C96" s="111"/>
      <c r="D96" s="111"/>
      <c r="E96" s="112"/>
    </row>
    <row r="97" spans="1:5">
      <c r="A97" s="108" t="s">
        <v>159</v>
      </c>
      <c r="B97" s="109">
        <v>1076</v>
      </c>
      <c r="C97" s="109">
        <v>1699</v>
      </c>
      <c r="D97" s="111">
        <v>487</v>
      </c>
      <c r="E97" s="112">
        <v>637</v>
      </c>
    </row>
    <row r="98" spans="1:5">
      <c r="A98" s="113" t="s">
        <v>160</v>
      </c>
      <c r="B98" s="114">
        <v>1076</v>
      </c>
      <c r="C98" s="114">
        <v>1699</v>
      </c>
      <c r="D98" s="115">
        <v>487</v>
      </c>
      <c r="E98" s="116">
        <v>637</v>
      </c>
    </row>
  </sheetData>
  <mergeCells count="3">
    <mergeCell ref="A64:A65"/>
    <mergeCell ref="B64:C64"/>
    <mergeCell ref="D64:E64"/>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9"/>
  <sheetViews>
    <sheetView topLeftCell="A16" zoomScale="85" zoomScaleNormal="85" workbookViewId="0">
      <selection activeCell="B46" sqref="B46"/>
    </sheetView>
  </sheetViews>
  <sheetFormatPr defaultRowHeight="16.5"/>
  <cols>
    <col min="1" max="1" width="85.125" style="103" bestFit="1" customWidth="1"/>
    <col min="2" max="3" width="17.75" style="103" bestFit="1" customWidth="1"/>
    <col min="4" max="4" width="16" style="103" bestFit="1" customWidth="1"/>
    <col min="5" max="5" width="17.75" style="103" bestFit="1" customWidth="1"/>
    <col min="6" max="16384" width="9" style="103"/>
  </cols>
  <sheetData>
    <row r="1" spans="1:3">
      <c r="A1" s="102" t="s">
        <v>195</v>
      </c>
    </row>
    <row r="2" spans="1:3">
      <c r="A2" s="104" t="s">
        <v>331</v>
      </c>
    </row>
    <row r="3" spans="1:3">
      <c r="A3" s="104" t="s">
        <v>298</v>
      </c>
    </row>
    <row r="4" spans="1:3">
      <c r="A4" s="105" t="s">
        <v>125</v>
      </c>
    </row>
    <row r="5" spans="1:3">
      <c r="A5" s="127"/>
      <c r="B5" s="128" t="s">
        <v>332</v>
      </c>
      <c r="C5" s="129" t="s">
        <v>300</v>
      </c>
    </row>
    <row r="6" spans="1:3">
      <c r="A6" s="108" t="s">
        <v>200</v>
      </c>
      <c r="B6" s="111"/>
      <c r="C6" s="112"/>
    </row>
    <row r="7" spans="1:3">
      <c r="A7" s="108" t="s">
        <v>201</v>
      </c>
      <c r="B7" s="109">
        <v>1286758151982</v>
      </c>
      <c r="C7" s="110">
        <v>1154080807587</v>
      </c>
    </row>
    <row r="8" spans="1:3">
      <c r="A8" s="108" t="s">
        <v>202</v>
      </c>
      <c r="B8" s="109">
        <v>131120388793</v>
      </c>
      <c r="C8" s="110">
        <v>107696147903</v>
      </c>
    </row>
    <row r="9" spans="1:3">
      <c r="A9" s="108" t="s">
        <v>203</v>
      </c>
      <c r="B9" s="109">
        <v>493795813287</v>
      </c>
      <c r="C9" s="110">
        <v>387342267614</v>
      </c>
    </row>
    <row r="10" spans="1:3">
      <c r="A10" s="108" t="s">
        <v>204</v>
      </c>
      <c r="B10" s="109">
        <v>586824453584</v>
      </c>
      <c r="C10" s="110">
        <v>578366696630</v>
      </c>
    </row>
    <row r="11" spans="1:3">
      <c r="A11" s="108" t="s">
        <v>205</v>
      </c>
      <c r="B11" s="109">
        <v>4323949614</v>
      </c>
      <c r="C11" s="110">
        <v>24586590055</v>
      </c>
    </row>
    <row r="12" spans="1:3">
      <c r="A12" s="108" t="s">
        <v>301</v>
      </c>
      <c r="B12" s="109">
        <v>10273477038</v>
      </c>
      <c r="C12" s="112"/>
    </row>
    <row r="13" spans="1:3">
      <c r="A13" s="108" t="s">
        <v>302</v>
      </c>
      <c r="B13" s="109">
        <v>5205695737</v>
      </c>
      <c r="C13" s="110">
        <v>5008803571</v>
      </c>
    </row>
    <row r="14" spans="1:3">
      <c r="A14" s="108" t="s">
        <v>209</v>
      </c>
      <c r="B14" s="109">
        <v>3764982299</v>
      </c>
      <c r="C14" s="110">
        <v>2019366217</v>
      </c>
    </row>
    <row r="15" spans="1:3">
      <c r="A15" s="108" t="s">
        <v>210</v>
      </c>
      <c r="B15" s="109">
        <v>51449391630</v>
      </c>
      <c r="C15" s="110">
        <v>49060935597</v>
      </c>
    </row>
    <row r="16" spans="1:3">
      <c r="A16" s="108" t="s">
        <v>211</v>
      </c>
      <c r="B16" s="109">
        <v>1943279027752</v>
      </c>
      <c r="C16" s="110">
        <v>1924843410552</v>
      </c>
    </row>
    <row r="17" spans="1:3">
      <c r="A17" s="108" t="s">
        <v>212</v>
      </c>
      <c r="B17" s="109">
        <v>19212967051</v>
      </c>
      <c r="C17" s="110">
        <v>18309873622</v>
      </c>
    </row>
    <row r="18" spans="1:3">
      <c r="A18" s="108" t="s">
        <v>213</v>
      </c>
      <c r="B18" s="109">
        <v>18960021146</v>
      </c>
      <c r="C18" s="110">
        <v>16800208225</v>
      </c>
    </row>
    <row r="19" spans="1:3">
      <c r="A19" s="108" t="s">
        <v>214</v>
      </c>
      <c r="B19" s="109">
        <v>301124119934</v>
      </c>
      <c r="C19" s="110">
        <v>323527080610</v>
      </c>
    </row>
    <row r="20" spans="1:3">
      <c r="A20" s="108" t="s">
        <v>215</v>
      </c>
      <c r="B20" s="109">
        <v>1474679854868</v>
      </c>
      <c r="C20" s="110">
        <v>1440427166767</v>
      </c>
    </row>
    <row r="21" spans="1:3">
      <c r="A21" s="108" t="s">
        <v>303</v>
      </c>
      <c r="B21" s="109">
        <v>38381641818</v>
      </c>
      <c r="C21" s="110">
        <v>26562351295</v>
      </c>
    </row>
    <row r="22" spans="1:3">
      <c r="A22" s="108" t="s">
        <v>304</v>
      </c>
      <c r="B22" s="111"/>
      <c r="C22" s="110">
        <v>3100000000</v>
      </c>
    </row>
    <row r="23" spans="1:3">
      <c r="A23" s="108" t="s">
        <v>305</v>
      </c>
      <c r="B23" s="109">
        <v>3100000000</v>
      </c>
      <c r="C23" s="112"/>
    </row>
    <row r="24" spans="1:3">
      <c r="A24" s="108" t="s">
        <v>306</v>
      </c>
      <c r="B24" s="109">
        <v>1764391700</v>
      </c>
      <c r="C24" s="110">
        <v>601969304</v>
      </c>
    </row>
    <row r="25" spans="1:3">
      <c r="A25" s="108" t="s">
        <v>219</v>
      </c>
      <c r="B25" s="109">
        <v>80360463775</v>
      </c>
      <c r="C25" s="110">
        <v>89760401069</v>
      </c>
    </row>
    <row r="26" spans="1:3">
      <c r="A26" s="108" t="s">
        <v>220</v>
      </c>
      <c r="B26" s="109">
        <v>5695567460</v>
      </c>
      <c r="C26" s="110">
        <v>5754359660</v>
      </c>
    </row>
    <row r="27" spans="1:3">
      <c r="A27" s="108" t="s">
        <v>221</v>
      </c>
      <c r="B27" s="109">
        <v>3230037179734</v>
      </c>
      <c r="C27" s="110">
        <v>3078924218139</v>
      </c>
    </row>
    <row r="28" spans="1:3">
      <c r="A28" s="108" t="s">
        <v>222</v>
      </c>
      <c r="B28" s="111"/>
      <c r="C28" s="112"/>
    </row>
    <row r="29" spans="1:3">
      <c r="A29" s="108" t="s">
        <v>223</v>
      </c>
      <c r="B29" s="109">
        <v>655910183849</v>
      </c>
      <c r="C29" s="110">
        <v>694580575337</v>
      </c>
    </row>
    <row r="30" spans="1:3">
      <c r="A30" s="108" t="s">
        <v>224</v>
      </c>
      <c r="B30" s="109">
        <v>405664888612</v>
      </c>
      <c r="C30" s="110">
        <v>330386252203</v>
      </c>
    </row>
    <row r="31" spans="1:3">
      <c r="A31" s="108" t="s">
        <v>225</v>
      </c>
      <c r="B31" s="109">
        <v>156514110862</v>
      </c>
      <c r="C31" s="110">
        <v>212671087919</v>
      </c>
    </row>
    <row r="32" spans="1:3">
      <c r="A32" s="108" t="s">
        <v>255</v>
      </c>
      <c r="B32" s="111"/>
      <c r="C32" s="110">
        <v>69557635152</v>
      </c>
    </row>
    <row r="33" spans="1:3">
      <c r="A33" s="108" t="s">
        <v>226</v>
      </c>
      <c r="B33" s="109">
        <v>280744224</v>
      </c>
      <c r="C33" s="110">
        <v>2888117267</v>
      </c>
    </row>
    <row r="34" spans="1:3">
      <c r="A34" s="108" t="s">
        <v>227</v>
      </c>
      <c r="B34" s="109">
        <v>1007477524</v>
      </c>
      <c r="C34" s="110">
        <v>6899373019</v>
      </c>
    </row>
    <row r="35" spans="1:3">
      <c r="A35" s="108" t="s">
        <v>333</v>
      </c>
      <c r="B35" s="109">
        <v>214370038</v>
      </c>
      <c r="C35" s="112"/>
    </row>
    <row r="36" spans="1:3">
      <c r="A36" s="108" t="s">
        <v>229</v>
      </c>
      <c r="B36" s="109">
        <v>25868962563</v>
      </c>
      <c r="C36" s="110">
        <v>51940453067</v>
      </c>
    </row>
    <row r="37" spans="1:3">
      <c r="A37" s="108" t="s">
        <v>327</v>
      </c>
      <c r="B37" s="109">
        <v>37311933641</v>
      </c>
      <c r="C37" s="112"/>
    </row>
    <row r="38" spans="1:3">
      <c r="A38" s="108" t="s">
        <v>231</v>
      </c>
      <c r="B38" s="109">
        <v>29047696385</v>
      </c>
      <c r="C38" s="110">
        <v>20237656710</v>
      </c>
    </row>
    <row r="39" spans="1:3">
      <c r="A39" s="108" t="s">
        <v>232</v>
      </c>
      <c r="B39" s="109">
        <v>1086328094494</v>
      </c>
      <c r="C39" s="110">
        <v>1150013685504</v>
      </c>
    </row>
    <row r="40" spans="1:3">
      <c r="A40" s="108" t="s">
        <v>233</v>
      </c>
      <c r="B40" s="109">
        <v>14457676668</v>
      </c>
      <c r="C40" s="110">
        <v>19274386169</v>
      </c>
    </row>
    <row r="41" spans="1:3" s="368" customFormat="1">
      <c r="A41" s="139" t="s">
        <v>234</v>
      </c>
      <c r="B41" s="140">
        <v>754324557521</v>
      </c>
      <c r="C41" s="141">
        <v>855613734937</v>
      </c>
    </row>
    <row r="42" spans="1:3" s="368" customFormat="1">
      <c r="A42" s="139" t="s">
        <v>235</v>
      </c>
      <c r="B42" s="140">
        <v>60827011829</v>
      </c>
      <c r="C42" s="370"/>
    </row>
    <row r="43" spans="1:3" s="368" customFormat="1">
      <c r="A43" s="139" t="s">
        <v>236</v>
      </c>
      <c r="B43" s="140">
        <v>438739835</v>
      </c>
      <c r="C43" s="141">
        <v>5901047278</v>
      </c>
    </row>
    <row r="44" spans="1:3" s="368" customFormat="1">
      <c r="A44" s="139" t="s">
        <v>307</v>
      </c>
      <c r="B44" s="140">
        <v>95441843</v>
      </c>
      <c r="C44" s="141">
        <v>296146745</v>
      </c>
    </row>
    <row r="45" spans="1:3" s="368" customFormat="1">
      <c r="A45" s="139" t="s">
        <v>308</v>
      </c>
      <c r="B45" s="140">
        <v>131416655782</v>
      </c>
      <c r="C45" s="141">
        <v>163410762057</v>
      </c>
    </row>
    <row r="46" spans="1:3" s="368" customFormat="1">
      <c r="A46" s="139" t="s">
        <v>239</v>
      </c>
      <c r="B46" s="140">
        <v>98539359031</v>
      </c>
      <c r="C46" s="141">
        <v>75846892366</v>
      </c>
    </row>
    <row r="47" spans="1:3">
      <c r="A47" s="108" t="s">
        <v>240</v>
      </c>
      <c r="B47" s="109">
        <v>24098849923</v>
      </c>
      <c r="C47" s="110">
        <v>29670715952</v>
      </c>
    </row>
    <row r="48" spans="1:3">
      <c r="A48" s="108" t="s">
        <v>328</v>
      </c>
      <c r="B48" s="109">
        <v>2129802062</v>
      </c>
      <c r="C48" s="112"/>
    </row>
    <row r="49" spans="1:3">
      <c r="A49" s="108" t="s">
        <v>242</v>
      </c>
      <c r="B49" s="109">
        <v>1742238278343</v>
      </c>
      <c r="C49" s="110">
        <v>1844594260841</v>
      </c>
    </row>
    <row r="50" spans="1:3">
      <c r="A50" s="108" t="s">
        <v>243</v>
      </c>
      <c r="B50" s="111"/>
      <c r="C50" s="112"/>
    </row>
    <row r="51" spans="1:3">
      <c r="A51" s="108" t="s">
        <v>244</v>
      </c>
      <c r="B51" s="109">
        <v>981165863265</v>
      </c>
      <c r="C51" s="110">
        <v>798990293889</v>
      </c>
    </row>
    <row r="52" spans="1:3">
      <c r="A52" s="108" t="s">
        <v>245</v>
      </c>
      <c r="B52" s="109">
        <v>61115070000</v>
      </c>
      <c r="C52" s="110">
        <v>61115070000</v>
      </c>
    </row>
    <row r="53" spans="1:3">
      <c r="A53" s="108" t="s">
        <v>246</v>
      </c>
      <c r="B53" s="109">
        <v>117766679366</v>
      </c>
      <c r="C53" s="110">
        <v>117766679366</v>
      </c>
    </row>
    <row r="54" spans="1:3">
      <c r="A54" s="108" t="s">
        <v>247</v>
      </c>
      <c r="B54" s="109">
        <v>-16952441555</v>
      </c>
      <c r="C54" s="110">
        <v>-13089144096</v>
      </c>
    </row>
    <row r="55" spans="1:3">
      <c r="A55" s="108" t="s">
        <v>248</v>
      </c>
      <c r="B55" s="109">
        <v>-3539025712</v>
      </c>
      <c r="C55" s="110">
        <v>-46461317240</v>
      </c>
    </row>
    <row r="56" spans="1:3">
      <c r="A56" s="108" t="s">
        <v>309</v>
      </c>
      <c r="B56" s="109">
        <v>822775581166</v>
      </c>
      <c r="C56" s="110">
        <v>679659005859</v>
      </c>
    </row>
    <row r="57" spans="1:3">
      <c r="A57" s="108" t="s">
        <v>157</v>
      </c>
      <c r="B57" s="109">
        <v>506633038126</v>
      </c>
      <c r="C57" s="110">
        <v>435339663409</v>
      </c>
    </row>
    <row r="58" spans="1:3">
      <c r="A58" s="108" t="s">
        <v>250</v>
      </c>
      <c r="B58" s="109">
        <v>1487798901391</v>
      </c>
      <c r="C58" s="110">
        <v>1234329957298</v>
      </c>
    </row>
    <row r="59" spans="1:3">
      <c r="A59" s="113" t="s">
        <v>251</v>
      </c>
      <c r="B59" s="114">
        <v>3230037179734</v>
      </c>
      <c r="C59" s="123">
        <v>3078924218139</v>
      </c>
    </row>
    <row r="60" spans="1:3">
      <c r="A60" s="133"/>
    </row>
    <row r="61" spans="1:3">
      <c r="A61" s="102" t="s">
        <v>122</v>
      </c>
    </row>
    <row r="62" spans="1:3">
      <c r="A62" s="104" t="s">
        <v>178</v>
      </c>
    </row>
    <row r="63" spans="1:3">
      <c r="A63" s="104" t="s">
        <v>334</v>
      </c>
    </row>
    <row r="64" spans="1:3">
      <c r="A64" s="105" t="s">
        <v>125</v>
      </c>
    </row>
    <row r="65" spans="1:5">
      <c r="A65" s="488"/>
      <c r="B65" s="490" t="s">
        <v>180</v>
      </c>
      <c r="C65" s="491"/>
      <c r="D65" s="490" t="s">
        <v>335</v>
      </c>
      <c r="E65" s="492"/>
    </row>
    <row r="66" spans="1:5">
      <c r="A66" s="489"/>
      <c r="B66" s="106" t="s">
        <v>128</v>
      </c>
      <c r="C66" s="106" t="s">
        <v>129</v>
      </c>
      <c r="D66" s="106" t="s">
        <v>128</v>
      </c>
      <c r="E66" s="107" t="s">
        <v>129</v>
      </c>
    </row>
    <row r="67" spans="1:5">
      <c r="A67" s="108" t="s">
        <v>130</v>
      </c>
      <c r="B67" s="109">
        <v>725877795889</v>
      </c>
      <c r="C67" s="109">
        <v>2192964560602</v>
      </c>
      <c r="D67" s="109">
        <v>569274062919</v>
      </c>
      <c r="E67" s="110">
        <v>1915842045983</v>
      </c>
    </row>
    <row r="68" spans="1:5">
      <c r="A68" s="108" t="s">
        <v>131</v>
      </c>
      <c r="B68" s="109">
        <v>372017090098</v>
      </c>
      <c r="C68" s="109">
        <v>1092812557901</v>
      </c>
      <c r="D68" s="109">
        <v>291994242737</v>
      </c>
      <c r="E68" s="110">
        <v>979357101074</v>
      </c>
    </row>
    <row r="69" spans="1:5">
      <c r="A69" s="108" t="s">
        <v>132</v>
      </c>
      <c r="B69" s="109">
        <v>353860705791</v>
      </c>
      <c r="C69" s="109">
        <v>1100152002701</v>
      </c>
      <c r="D69" s="109">
        <v>277279820182</v>
      </c>
      <c r="E69" s="110">
        <v>936484944909</v>
      </c>
    </row>
    <row r="70" spans="1:5">
      <c r="A70" s="108" t="s">
        <v>133</v>
      </c>
      <c r="B70" s="109">
        <v>279948044763</v>
      </c>
      <c r="C70" s="109">
        <v>825652939978</v>
      </c>
      <c r="D70" s="109">
        <v>241709370501</v>
      </c>
      <c r="E70" s="110">
        <v>770471867126</v>
      </c>
    </row>
    <row r="71" spans="1:5">
      <c r="A71" s="108" t="s">
        <v>134</v>
      </c>
      <c r="B71" s="109">
        <v>73912661028</v>
      </c>
      <c r="C71" s="109">
        <v>274499062723</v>
      </c>
      <c r="D71" s="109">
        <v>35570449681</v>
      </c>
      <c r="E71" s="110">
        <v>166013077783</v>
      </c>
    </row>
    <row r="72" spans="1:5">
      <c r="A72" s="108" t="s">
        <v>312</v>
      </c>
      <c r="B72" s="109">
        <v>19503136109</v>
      </c>
      <c r="C72" s="109">
        <v>22518683844</v>
      </c>
      <c r="D72" s="109">
        <v>679783948</v>
      </c>
      <c r="E72" s="110">
        <v>1838999471</v>
      </c>
    </row>
    <row r="73" spans="1:5">
      <c r="A73" s="108" t="s">
        <v>313</v>
      </c>
      <c r="B73" s="109">
        <v>4159181132</v>
      </c>
      <c r="C73" s="109">
        <v>7455397988</v>
      </c>
      <c r="D73" s="109">
        <v>2804371224</v>
      </c>
      <c r="E73" s="110">
        <v>6061264160</v>
      </c>
    </row>
    <row r="74" spans="1:5">
      <c r="A74" s="108" t="s">
        <v>138</v>
      </c>
      <c r="B74" s="109">
        <v>1062532998</v>
      </c>
      <c r="C74" s="109">
        <v>16987803168</v>
      </c>
      <c r="D74" s="109">
        <v>7982264404</v>
      </c>
      <c r="E74" s="110">
        <v>33669236568</v>
      </c>
    </row>
    <row r="75" spans="1:5">
      <c r="A75" s="108" t="s">
        <v>137</v>
      </c>
      <c r="B75" s="109">
        <v>845796000</v>
      </c>
      <c r="C75" s="109">
        <v>1799379203</v>
      </c>
      <c r="D75" s="109">
        <v>408613341</v>
      </c>
      <c r="E75" s="110">
        <v>1127135004</v>
      </c>
    </row>
    <row r="76" spans="1:5">
      <c r="A76" s="108" t="s">
        <v>314</v>
      </c>
      <c r="B76" s="109">
        <v>14960070636</v>
      </c>
      <c r="C76" s="109">
        <v>59596015175</v>
      </c>
      <c r="D76" s="109">
        <v>18801424489</v>
      </c>
      <c r="E76" s="110">
        <v>63316065892</v>
      </c>
    </row>
    <row r="77" spans="1:5">
      <c r="A77" s="108" t="s">
        <v>315</v>
      </c>
      <c r="B77" s="109">
        <v>3614357672</v>
      </c>
      <c r="C77" s="109">
        <v>14566590456</v>
      </c>
      <c r="D77" s="109">
        <v>3442170692</v>
      </c>
      <c r="E77" s="110">
        <v>9122853650</v>
      </c>
    </row>
    <row r="78" spans="1:5">
      <c r="A78" s="108" t="s">
        <v>141</v>
      </c>
      <c r="B78" s="109">
        <v>79819232039</v>
      </c>
      <c r="C78" s="109">
        <v>263320106231</v>
      </c>
      <c r="D78" s="109">
        <v>26477486353</v>
      </c>
      <c r="E78" s="110">
        <v>142393972424</v>
      </c>
    </row>
    <row r="79" spans="1:5">
      <c r="A79" s="108" t="s">
        <v>169</v>
      </c>
      <c r="B79" s="109">
        <v>34517561803</v>
      </c>
      <c r="C79" s="109">
        <v>57143256262</v>
      </c>
      <c r="D79" s="109">
        <v>5794874656</v>
      </c>
      <c r="E79" s="110">
        <v>49412546028</v>
      </c>
    </row>
    <row r="80" spans="1:5">
      <c r="A80" s="108" t="s">
        <v>163</v>
      </c>
      <c r="B80" s="109">
        <v>45301670236</v>
      </c>
      <c r="C80" s="109">
        <v>206176849969</v>
      </c>
      <c r="D80" s="109">
        <v>20682611697</v>
      </c>
      <c r="E80" s="110">
        <v>92981426396</v>
      </c>
    </row>
    <row r="81" spans="1:5">
      <c r="A81" s="108" t="s">
        <v>144</v>
      </c>
      <c r="B81" s="109">
        <v>-1617818647</v>
      </c>
      <c r="C81" s="109">
        <v>66326598198</v>
      </c>
      <c r="D81" s="109">
        <v>15788889665</v>
      </c>
      <c r="E81" s="110">
        <v>-74819389895</v>
      </c>
    </row>
    <row r="82" spans="1:5">
      <c r="A82" s="108" t="s">
        <v>145</v>
      </c>
      <c r="B82" s="109">
        <v>701372514</v>
      </c>
      <c r="C82" s="109">
        <v>2040273839</v>
      </c>
      <c r="D82" s="109">
        <v>725163881</v>
      </c>
      <c r="E82" s="110">
        <v>-40364518314</v>
      </c>
    </row>
    <row r="83" spans="1:5">
      <c r="A83" s="108" t="s">
        <v>316</v>
      </c>
      <c r="B83" s="109">
        <v>701372514</v>
      </c>
      <c r="C83" s="109">
        <v>3271782169</v>
      </c>
      <c r="D83" s="109">
        <v>725163881</v>
      </c>
      <c r="E83" s="110">
        <v>-40364518314</v>
      </c>
    </row>
    <row r="84" spans="1:5">
      <c r="A84" s="108" t="s">
        <v>171</v>
      </c>
      <c r="B84" s="111"/>
      <c r="C84" s="109">
        <v>-1231508330</v>
      </c>
      <c r="D84" s="111"/>
      <c r="E84" s="112"/>
    </row>
    <row r="85" spans="1:5">
      <c r="A85" s="108" t="s">
        <v>147</v>
      </c>
      <c r="B85" s="109">
        <v>-2319191161</v>
      </c>
      <c r="C85" s="109">
        <v>64286324359</v>
      </c>
      <c r="D85" s="109">
        <v>15063725784</v>
      </c>
      <c r="E85" s="110">
        <v>-34454871581</v>
      </c>
    </row>
    <row r="86" spans="1:5">
      <c r="A86" s="108" t="s">
        <v>148</v>
      </c>
      <c r="B86" s="109">
        <v>-1273904493</v>
      </c>
      <c r="C86" s="109">
        <v>-1963754085</v>
      </c>
      <c r="D86" s="109">
        <v>526497005</v>
      </c>
      <c r="E86" s="110">
        <v>1026382994</v>
      </c>
    </row>
    <row r="87" spans="1:5">
      <c r="A87" s="108" t="s">
        <v>149</v>
      </c>
      <c r="B87" s="109">
        <v>-5401830950</v>
      </c>
      <c r="C87" s="109">
        <v>58614271013</v>
      </c>
      <c r="D87" s="109">
        <v>17482983339</v>
      </c>
      <c r="E87" s="110">
        <v>-19738745404</v>
      </c>
    </row>
    <row r="88" spans="1:5">
      <c r="A88" s="108" t="s">
        <v>187</v>
      </c>
      <c r="B88" s="111"/>
      <c r="C88" s="111"/>
      <c r="D88" s="109">
        <v>238170042</v>
      </c>
      <c r="E88" s="110">
        <v>152727731</v>
      </c>
    </row>
    <row r="89" spans="1:5">
      <c r="A89" s="108" t="s">
        <v>317</v>
      </c>
      <c r="B89" s="109">
        <v>4356544282</v>
      </c>
      <c r="C89" s="109">
        <v>7635807431</v>
      </c>
      <c r="D89" s="109">
        <v>-3183924602</v>
      </c>
      <c r="E89" s="110">
        <v>-15895236902</v>
      </c>
    </row>
    <row r="90" spans="1:5">
      <c r="A90" s="108" t="s">
        <v>164</v>
      </c>
      <c r="B90" s="109">
        <v>43683851589</v>
      </c>
      <c r="C90" s="109">
        <v>272503448167</v>
      </c>
      <c r="D90" s="109">
        <v>36471501362</v>
      </c>
      <c r="E90" s="110">
        <v>18162036501</v>
      </c>
    </row>
    <row r="91" spans="1:5">
      <c r="A91" s="108" t="s">
        <v>189</v>
      </c>
      <c r="B91" s="111"/>
      <c r="C91" s="111"/>
      <c r="D91" s="111"/>
      <c r="E91" s="112"/>
    </row>
    <row r="92" spans="1:5">
      <c r="A92" s="108" t="s">
        <v>318</v>
      </c>
      <c r="B92" s="109">
        <v>40401205429</v>
      </c>
      <c r="C92" s="109">
        <v>144256018248</v>
      </c>
      <c r="D92" s="109">
        <v>14593325272</v>
      </c>
      <c r="E92" s="110">
        <v>52808904517</v>
      </c>
    </row>
    <row r="93" spans="1:5">
      <c r="A93" s="108" t="s">
        <v>319</v>
      </c>
      <c r="B93" s="109">
        <v>4900464807</v>
      </c>
      <c r="C93" s="109">
        <v>61920831721</v>
      </c>
      <c r="D93" s="109">
        <v>6089286425</v>
      </c>
      <c r="E93" s="110">
        <v>40172521879</v>
      </c>
    </row>
    <row r="94" spans="1:5">
      <c r="A94" s="108" t="s">
        <v>320</v>
      </c>
      <c r="B94" s="111"/>
      <c r="C94" s="111"/>
      <c r="D94" s="111"/>
      <c r="E94" s="112"/>
    </row>
    <row r="95" spans="1:5">
      <c r="A95" s="108" t="s">
        <v>321</v>
      </c>
      <c r="B95" s="109">
        <v>41402419539</v>
      </c>
      <c r="C95" s="109">
        <v>203862911465</v>
      </c>
      <c r="D95" s="109">
        <v>26485354279</v>
      </c>
      <c r="E95" s="110">
        <v>450631688</v>
      </c>
    </row>
    <row r="96" spans="1:5">
      <c r="A96" s="108" t="s">
        <v>322</v>
      </c>
      <c r="B96" s="109">
        <v>2281432050</v>
      </c>
      <c r="C96" s="109">
        <v>68640536702</v>
      </c>
      <c r="D96" s="109">
        <v>9986147083</v>
      </c>
      <c r="E96" s="110">
        <v>17711404813</v>
      </c>
    </row>
    <row r="97" spans="1:5">
      <c r="A97" s="108" t="s">
        <v>158</v>
      </c>
      <c r="B97" s="111"/>
      <c r="C97" s="111"/>
      <c r="D97" s="111"/>
      <c r="E97" s="112"/>
    </row>
    <row r="98" spans="1:5">
      <c r="A98" s="108" t="s">
        <v>159</v>
      </c>
      <c r="B98" s="111">
        <v>661</v>
      </c>
      <c r="C98" s="109">
        <v>2360</v>
      </c>
      <c r="D98" s="109">
        <v>1215</v>
      </c>
      <c r="E98" s="110">
        <v>4399</v>
      </c>
    </row>
    <row r="99" spans="1:5">
      <c r="A99" s="113" t="s">
        <v>160</v>
      </c>
      <c r="B99" s="115">
        <v>661</v>
      </c>
      <c r="C99" s="114">
        <v>2360</v>
      </c>
      <c r="D99" s="114">
        <v>1215</v>
      </c>
      <c r="E99" s="123">
        <v>4399</v>
      </c>
    </row>
  </sheetData>
  <mergeCells count="3">
    <mergeCell ref="A65:A66"/>
    <mergeCell ref="B65:C65"/>
    <mergeCell ref="D65:E65"/>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3"/>
  <sheetViews>
    <sheetView topLeftCell="A22" zoomScale="85" zoomScaleNormal="85" workbookViewId="0">
      <selection activeCell="B48" sqref="B48"/>
    </sheetView>
  </sheetViews>
  <sheetFormatPr defaultRowHeight="16.5"/>
  <cols>
    <col min="1" max="1" width="50.25" style="103" customWidth="1"/>
    <col min="2" max="4" width="17.75" style="103" bestFit="1" customWidth="1"/>
    <col min="5" max="16384" width="9" style="103"/>
  </cols>
  <sheetData>
    <row r="1" spans="1:4">
      <c r="A1" s="102" t="s">
        <v>195</v>
      </c>
    </row>
    <row r="2" spans="1:4">
      <c r="A2" s="104" t="s">
        <v>261</v>
      </c>
    </row>
    <row r="3" spans="1:4">
      <c r="A3" s="104" t="s">
        <v>262</v>
      </c>
    </row>
    <row r="4" spans="1:4">
      <c r="A4" s="104" t="s">
        <v>336</v>
      </c>
    </row>
    <row r="5" spans="1:4">
      <c r="A5" s="105" t="s">
        <v>125</v>
      </c>
    </row>
    <row r="6" spans="1:4">
      <c r="A6" s="127"/>
      <c r="B6" s="128" t="s">
        <v>185</v>
      </c>
      <c r="C6" s="128" t="s">
        <v>186</v>
      </c>
      <c r="D6" s="129" t="s">
        <v>337</v>
      </c>
    </row>
    <row r="7" spans="1:4">
      <c r="A7" s="108" t="s">
        <v>200</v>
      </c>
      <c r="B7" s="111"/>
      <c r="C7" s="111"/>
      <c r="D7" s="112"/>
    </row>
    <row r="8" spans="1:4">
      <c r="A8" s="108" t="s">
        <v>201</v>
      </c>
      <c r="B8" s="109">
        <v>1337877928572</v>
      </c>
      <c r="C8" s="109">
        <v>1154080807587</v>
      </c>
      <c r="D8" s="110">
        <v>1240991904970</v>
      </c>
    </row>
    <row r="9" spans="1:4">
      <c r="A9" s="108" t="s">
        <v>202</v>
      </c>
      <c r="B9" s="109">
        <v>149001324731</v>
      </c>
      <c r="C9" s="109">
        <v>107696147903</v>
      </c>
      <c r="D9" s="110">
        <v>149389365351</v>
      </c>
    </row>
    <row r="10" spans="1:4">
      <c r="A10" s="108" t="s">
        <v>203</v>
      </c>
      <c r="B10" s="109">
        <v>473863914281</v>
      </c>
      <c r="C10" s="109">
        <v>387342267614</v>
      </c>
      <c r="D10" s="110">
        <v>400528248940</v>
      </c>
    </row>
    <row r="11" spans="1:4">
      <c r="A11" s="108" t="s">
        <v>204</v>
      </c>
      <c r="B11" s="109">
        <v>632236889813</v>
      </c>
      <c r="C11" s="109">
        <v>578366696630</v>
      </c>
      <c r="D11" s="110">
        <v>608896006887</v>
      </c>
    </row>
    <row r="12" spans="1:4">
      <c r="A12" s="108" t="s">
        <v>205</v>
      </c>
      <c r="B12" s="109">
        <v>4244731103</v>
      </c>
      <c r="C12" s="109">
        <v>24586590055</v>
      </c>
      <c r="D12" s="110">
        <v>12176939055</v>
      </c>
    </row>
    <row r="13" spans="1:4">
      <c r="A13" s="108" t="s">
        <v>206</v>
      </c>
      <c r="B13" s="109">
        <v>9579026135</v>
      </c>
      <c r="C13" s="111"/>
      <c r="D13" s="112"/>
    </row>
    <row r="14" spans="1:4">
      <c r="A14" s="108" t="s">
        <v>207</v>
      </c>
      <c r="B14" s="109">
        <v>10450417807</v>
      </c>
      <c r="C14" s="111"/>
      <c r="D14" s="112"/>
    </row>
    <row r="15" spans="1:4">
      <c r="A15" s="108" t="s">
        <v>338</v>
      </c>
      <c r="B15" s="109">
        <v>6838578007</v>
      </c>
      <c r="C15" s="109">
        <v>5008803571</v>
      </c>
      <c r="D15" s="110">
        <v>13724903079</v>
      </c>
    </row>
    <row r="16" spans="1:4">
      <c r="A16" s="108" t="s">
        <v>209</v>
      </c>
      <c r="B16" s="109">
        <v>8906682</v>
      </c>
      <c r="C16" s="109">
        <v>2019366217</v>
      </c>
      <c r="D16" s="110">
        <v>2389034115</v>
      </c>
    </row>
    <row r="17" spans="1:4">
      <c r="A17" s="108" t="s">
        <v>210</v>
      </c>
      <c r="B17" s="109">
        <v>51654140013</v>
      </c>
      <c r="C17" s="109">
        <v>49060935597</v>
      </c>
      <c r="D17" s="110">
        <v>53887407543</v>
      </c>
    </row>
    <row r="18" spans="1:4">
      <c r="A18" s="108" t="s">
        <v>211</v>
      </c>
      <c r="B18" s="109">
        <v>1966461579498</v>
      </c>
      <c r="C18" s="109">
        <v>1924843410552</v>
      </c>
      <c r="D18" s="110">
        <v>2143922993750</v>
      </c>
    </row>
    <row r="19" spans="1:4">
      <c r="A19" s="108" t="s">
        <v>212</v>
      </c>
      <c r="B19" s="109">
        <v>19246243033</v>
      </c>
      <c r="C19" s="109">
        <v>18309873622</v>
      </c>
      <c r="D19" s="110">
        <v>17979477011</v>
      </c>
    </row>
    <row r="20" spans="1:4">
      <c r="A20" s="108" t="s">
        <v>213</v>
      </c>
      <c r="B20" s="109">
        <v>17286108509</v>
      </c>
      <c r="C20" s="109">
        <v>16800208225</v>
      </c>
      <c r="D20" s="110">
        <v>13457869881</v>
      </c>
    </row>
    <row r="21" spans="1:4">
      <c r="A21" s="108" t="s">
        <v>214</v>
      </c>
      <c r="B21" s="109">
        <v>310716359412</v>
      </c>
      <c r="C21" s="109">
        <v>323527080610</v>
      </c>
      <c r="D21" s="110">
        <v>344467349550</v>
      </c>
    </row>
    <row r="22" spans="1:4">
      <c r="A22" s="108" t="s">
        <v>215</v>
      </c>
      <c r="B22" s="109">
        <v>1491948339883</v>
      </c>
      <c r="C22" s="109">
        <v>1440427166767</v>
      </c>
      <c r="D22" s="110">
        <v>1626895043196</v>
      </c>
    </row>
    <row r="23" spans="1:4">
      <c r="A23" s="108" t="s">
        <v>216</v>
      </c>
      <c r="B23" s="109">
        <v>43806106986</v>
      </c>
      <c r="C23" s="109">
        <v>26562351295</v>
      </c>
      <c r="D23" s="110">
        <v>17284864916</v>
      </c>
    </row>
    <row r="24" spans="1:4">
      <c r="A24" s="108" t="s">
        <v>304</v>
      </c>
      <c r="B24" s="111"/>
      <c r="C24" s="109">
        <v>3100000000</v>
      </c>
      <c r="D24" s="110">
        <v>3100000000</v>
      </c>
    </row>
    <row r="25" spans="1:4">
      <c r="A25" s="108" t="s">
        <v>217</v>
      </c>
      <c r="B25" s="109">
        <v>2110480000</v>
      </c>
      <c r="C25" s="111"/>
      <c r="D25" s="112"/>
    </row>
    <row r="26" spans="1:4">
      <c r="A26" s="108" t="s">
        <v>218</v>
      </c>
      <c r="B26" s="109">
        <v>1134718320</v>
      </c>
      <c r="C26" s="109">
        <v>601969304</v>
      </c>
      <c r="D26" s="110">
        <v>6388608358</v>
      </c>
    </row>
    <row r="27" spans="1:4">
      <c r="A27" s="108" t="s">
        <v>219</v>
      </c>
      <c r="B27" s="109">
        <v>74672051151</v>
      </c>
      <c r="C27" s="109">
        <v>89760401069</v>
      </c>
      <c r="D27" s="110">
        <v>107027844037</v>
      </c>
    </row>
    <row r="28" spans="1:4">
      <c r="A28" s="108" t="s">
        <v>220</v>
      </c>
      <c r="B28" s="109">
        <v>5541172204</v>
      </c>
      <c r="C28" s="109">
        <v>5754359660</v>
      </c>
      <c r="D28" s="110">
        <v>7321936801</v>
      </c>
    </row>
    <row r="29" spans="1:4">
      <c r="A29" s="108" t="s">
        <v>221</v>
      </c>
      <c r="B29" s="109">
        <v>3304339508070</v>
      </c>
      <c r="C29" s="109">
        <v>3078924218139</v>
      </c>
      <c r="D29" s="110">
        <v>3384914898720</v>
      </c>
    </row>
    <row r="30" spans="1:4">
      <c r="A30" s="108" t="s">
        <v>222</v>
      </c>
      <c r="B30" s="111"/>
      <c r="C30" s="111"/>
      <c r="D30" s="112"/>
    </row>
    <row r="31" spans="1:4">
      <c r="A31" s="108" t="s">
        <v>223</v>
      </c>
      <c r="B31" s="109">
        <v>672315662546</v>
      </c>
      <c r="C31" s="109">
        <v>694580575337</v>
      </c>
      <c r="D31" s="110">
        <v>1193035493782</v>
      </c>
    </row>
    <row r="32" spans="1:4">
      <c r="A32" s="108" t="s">
        <v>224</v>
      </c>
      <c r="B32" s="109">
        <v>405997471248</v>
      </c>
      <c r="C32" s="109">
        <v>330386252203</v>
      </c>
      <c r="D32" s="110">
        <v>512509941933</v>
      </c>
    </row>
    <row r="33" spans="1:4">
      <c r="A33" s="108" t="s">
        <v>225</v>
      </c>
      <c r="B33" s="109">
        <v>174425639360</v>
      </c>
      <c r="C33" s="109">
        <v>212671087919</v>
      </c>
      <c r="D33" s="110">
        <v>584311888247</v>
      </c>
    </row>
    <row r="34" spans="1:4">
      <c r="A34" s="108" t="s">
        <v>255</v>
      </c>
      <c r="B34" s="111"/>
      <c r="C34" s="109">
        <v>69557635152</v>
      </c>
      <c r="D34" s="112"/>
    </row>
    <row r="35" spans="1:4">
      <c r="A35" s="108" t="s">
        <v>226</v>
      </c>
      <c r="B35" s="109">
        <v>204323830</v>
      </c>
      <c r="C35" s="109">
        <v>2888117267</v>
      </c>
      <c r="D35" s="110">
        <v>4068367102</v>
      </c>
    </row>
    <row r="36" spans="1:4">
      <c r="A36" s="108" t="s">
        <v>339</v>
      </c>
      <c r="B36" s="109">
        <v>1235018599</v>
      </c>
      <c r="C36" s="109">
        <v>6899373019</v>
      </c>
      <c r="D36" s="110">
        <v>1336739978</v>
      </c>
    </row>
    <row r="37" spans="1:4">
      <c r="A37" s="108" t="s">
        <v>228</v>
      </c>
      <c r="B37" s="109">
        <v>614177748</v>
      </c>
      <c r="C37" s="111"/>
      <c r="D37" s="112"/>
    </row>
    <row r="38" spans="1:4">
      <c r="A38" s="108" t="s">
        <v>229</v>
      </c>
      <c r="B38" s="109">
        <v>21939737844</v>
      </c>
      <c r="C38" s="109">
        <v>51940453067</v>
      </c>
      <c r="D38" s="110">
        <v>57552141104</v>
      </c>
    </row>
    <row r="39" spans="1:4">
      <c r="A39" s="108" t="s">
        <v>230</v>
      </c>
      <c r="B39" s="109">
        <v>31653653281</v>
      </c>
      <c r="C39" s="111"/>
      <c r="D39" s="112"/>
    </row>
    <row r="40" spans="1:4">
      <c r="A40" s="108" t="s">
        <v>231</v>
      </c>
      <c r="B40" s="109">
        <v>36245640636</v>
      </c>
      <c r="C40" s="109">
        <v>20237656710</v>
      </c>
      <c r="D40" s="110">
        <v>33256415418</v>
      </c>
    </row>
    <row r="41" spans="1:4">
      <c r="A41" s="108" t="s">
        <v>232</v>
      </c>
      <c r="B41" s="109">
        <v>1125529969365</v>
      </c>
      <c r="C41" s="109">
        <v>1150013685504</v>
      </c>
      <c r="D41" s="110">
        <v>889716579034</v>
      </c>
    </row>
    <row r="42" spans="1:4">
      <c r="A42" s="108" t="s">
        <v>233</v>
      </c>
      <c r="B42" s="109">
        <v>13784891081</v>
      </c>
      <c r="C42" s="109">
        <v>19274386169</v>
      </c>
      <c r="D42" s="110">
        <v>20575185252</v>
      </c>
    </row>
    <row r="43" spans="1:4" s="368" customFormat="1">
      <c r="A43" s="139" t="s">
        <v>234</v>
      </c>
      <c r="B43" s="140">
        <v>746949775950</v>
      </c>
      <c r="C43" s="140">
        <v>855613734937</v>
      </c>
      <c r="D43" s="141">
        <v>514438441274</v>
      </c>
    </row>
    <row r="44" spans="1:4" s="368" customFormat="1">
      <c r="A44" s="139" t="s">
        <v>235</v>
      </c>
      <c r="B44" s="140">
        <v>61175397210</v>
      </c>
      <c r="C44" s="371"/>
      <c r="D44" s="141">
        <v>78083461792</v>
      </c>
    </row>
    <row r="45" spans="1:4" s="368" customFormat="1">
      <c r="A45" s="139" t="s">
        <v>236</v>
      </c>
      <c r="B45" s="140">
        <v>409770233</v>
      </c>
      <c r="C45" s="140">
        <v>5901047278</v>
      </c>
      <c r="D45" s="141">
        <v>9905336107</v>
      </c>
    </row>
    <row r="46" spans="1:4" s="368" customFormat="1">
      <c r="A46" s="139" t="s">
        <v>237</v>
      </c>
      <c r="B46" s="140">
        <v>1214102303</v>
      </c>
      <c r="C46" s="140">
        <v>296146745</v>
      </c>
      <c r="D46" s="141">
        <v>38431509</v>
      </c>
    </row>
    <row r="47" spans="1:4" s="368" customFormat="1">
      <c r="A47" s="139" t="s">
        <v>308</v>
      </c>
      <c r="B47" s="140">
        <v>131076549709</v>
      </c>
      <c r="C47" s="140">
        <v>163410762057</v>
      </c>
      <c r="D47" s="141">
        <v>176538789435</v>
      </c>
    </row>
    <row r="48" spans="1:4" s="368" customFormat="1">
      <c r="A48" s="139" t="s">
        <v>239</v>
      </c>
      <c r="B48" s="140">
        <v>142583050574</v>
      </c>
      <c r="C48" s="140">
        <v>75846892366</v>
      </c>
      <c r="D48" s="141">
        <v>55202304187</v>
      </c>
    </row>
    <row r="49" spans="1:4">
      <c r="A49" s="108" t="s">
        <v>240</v>
      </c>
      <c r="B49" s="109">
        <v>13652467247</v>
      </c>
      <c r="C49" s="109">
        <v>29670715952</v>
      </c>
      <c r="D49" s="110">
        <v>34934629478</v>
      </c>
    </row>
    <row r="50" spans="1:4">
      <c r="A50" s="108" t="s">
        <v>241</v>
      </c>
      <c r="B50" s="109">
        <v>14683965058</v>
      </c>
      <c r="C50" s="111"/>
      <c r="D50" s="112"/>
    </row>
    <row r="51" spans="1:4">
      <c r="A51" s="108" t="s">
        <v>242</v>
      </c>
      <c r="B51" s="109">
        <v>1797845631911</v>
      </c>
      <c r="C51" s="109">
        <v>1844594260841</v>
      </c>
      <c r="D51" s="110">
        <v>2082752072816</v>
      </c>
    </row>
    <row r="52" spans="1:4">
      <c r="A52" s="108" t="s">
        <v>243</v>
      </c>
      <c r="B52" s="111"/>
      <c r="C52" s="111"/>
      <c r="D52" s="112"/>
    </row>
    <row r="53" spans="1:4">
      <c r="A53" s="108" t="s">
        <v>244</v>
      </c>
      <c r="B53" s="109">
        <v>991677842021</v>
      </c>
      <c r="C53" s="109">
        <v>798990293889</v>
      </c>
      <c r="D53" s="110">
        <v>857599077112</v>
      </c>
    </row>
    <row r="54" spans="1:4">
      <c r="A54" s="108" t="s">
        <v>245</v>
      </c>
      <c r="B54" s="109">
        <v>61115070000</v>
      </c>
      <c r="C54" s="109">
        <v>61115070000</v>
      </c>
      <c r="D54" s="110">
        <v>57040070000</v>
      </c>
    </row>
    <row r="55" spans="1:4">
      <c r="A55" s="108" t="s">
        <v>246</v>
      </c>
      <c r="B55" s="109">
        <v>117766679366</v>
      </c>
      <c r="C55" s="109">
        <v>117766679366</v>
      </c>
      <c r="D55" s="110">
        <v>105584275366</v>
      </c>
    </row>
    <row r="56" spans="1:4">
      <c r="A56" s="108" t="s">
        <v>247</v>
      </c>
      <c r="B56" s="109">
        <v>-9060116061</v>
      </c>
      <c r="C56" s="109">
        <v>-13089144096</v>
      </c>
      <c r="D56" s="110">
        <v>-8675884486</v>
      </c>
    </row>
    <row r="57" spans="1:4">
      <c r="A57" s="108" t="s">
        <v>248</v>
      </c>
      <c r="B57" s="109">
        <v>-583013337</v>
      </c>
      <c r="C57" s="109">
        <v>-46461317240</v>
      </c>
      <c r="D57" s="110">
        <v>38549297577</v>
      </c>
    </row>
    <row r="58" spans="1:4">
      <c r="A58" s="108" t="s">
        <v>249</v>
      </c>
      <c r="B58" s="109">
        <v>822439222053</v>
      </c>
      <c r="C58" s="109">
        <v>679659005859</v>
      </c>
      <c r="D58" s="110">
        <v>665101318655</v>
      </c>
    </row>
    <row r="59" spans="1:4">
      <c r="A59" s="108" t="s">
        <v>157</v>
      </c>
      <c r="B59" s="109">
        <v>514816034138</v>
      </c>
      <c r="C59" s="109">
        <v>435339663409</v>
      </c>
      <c r="D59" s="110">
        <v>444563748792</v>
      </c>
    </row>
    <row r="60" spans="1:4">
      <c r="A60" s="108" t="s">
        <v>250</v>
      </c>
      <c r="B60" s="109">
        <v>1506493876159</v>
      </c>
      <c r="C60" s="109">
        <v>1234329957298</v>
      </c>
      <c r="D60" s="110">
        <v>1302162825904</v>
      </c>
    </row>
    <row r="61" spans="1:4">
      <c r="A61" s="113" t="s">
        <v>251</v>
      </c>
      <c r="B61" s="114">
        <v>3304339508070</v>
      </c>
      <c r="C61" s="114">
        <v>3078924218139</v>
      </c>
      <c r="D61" s="123">
        <v>3384914898720</v>
      </c>
    </row>
    <row r="62" spans="1:4">
      <c r="A62" s="133"/>
    </row>
    <row r="63" spans="1:4">
      <c r="A63" s="102" t="s">
        <v>122</v>
      </c>
    </row>
    <row r="64" spans="1:4">
      <c r="A64" s="104" t="s">
        <v>182</v>
      </c>
    </row>
    <row r="65" spans="1:4">
      <c r="A65" s="104" t="s">
        <v>183</v>
      </c>
    </row>
    <row r="66" spans="1:4">
      <c r="A66" s="104" t="s">
        <v>340</v>
      </c>
    </row>
    <row r="67" spans="1:4">
      <c r="A67" s="105" t="s">
        <v>125</v>
      </c>
    </row>
    <row r="68" spans="1:4">
      <c r="A68" s="127"/>
      <c r="B68" s="128" t="s">
        <v>185</v>
      </c>
      <c r="C68" s="128" t="s">
        <v>186</v>
      </c>
      <c r="D68" s="129" t="s">
        <v>337</v>
      </c>
    </row>
    <row r="69" spans="1:4">
      <c r="A69" s="108" t="s">
        <v>130</v>
      </c>
      <c r="B69" s="109">
        <v>2954642540440</v>
      </c>
      <c r="C69" s="109">
        <v>2530323756958</v>
      </c>
      <c r="D69" s="110">
        <v>967128444713</v>
      </c>
    </row>
    <row r="70" spans="1:4">
      <c r="A70" s="108" t="s">
        <v>131</v>
      </c>
      <c r="B70" s="109">
        <v>1487105988703</v>
      </c>
      <c r="C70" s="109">
        <v>1289793351153</v>
      </c>
      <c r="D70" s="110">
        <v>548157130583</v>
      </c>
    </row>
    <row r="71" spans="1:4">
      <c r="A71" s="108" t="s">
        <v>132</v>
      </c>
      <c r="B71" s="109">
        <v>1467536551737</v>
      </c>
      <c r="C71" s="109">
        <v>1240530405805</v>
      </c>
      <c r="D71" s="110">
        <v>418971314130</v>
      </c>
    </row>
    <row r="72" spans="1:4">
      <c r="A72" s="108" t="s">
        <v>133</v>
      </c>
      <c r="B72" s="109">
        <v>1110434382244</v>
      </c>
      <c r="C72" s="109">
        <v>1023064433851</v>
      </c>
      <c r="D72" s="110">
        <v>407133662967</v>
      </c>
    </row>
    <row r="73" spans="1:4">
      <c r="A73" s="108" t="s">
        <v>134</v>
      </c>
      <c r="B73" s="109">
        <v>357102169493</v>
      </c>
      <c r="C73" s="109">
        <v>217465971954</v>
      </c>
      <c r="D73" s="110">
        <v>11837651163</v>
      </c>
    </row>
    <row r="74" spans="1:4">
      <c r="A74" s="108" t="s">
        <v>341</v>
      </c>
      <c r="B74" s="109">
        <v>34044072509</v>
      </c>
      <c r="C74" s="109">
        <v>2311804654</v>
      </c>
      <c r="D74" s="110">
        <v>479286370592</v>
      </c>
    </row>
    <row r="75" spans="1:4">
      <c r="A75" s="108" t="s">
        <v>136</v>
      </c>
      <c r="B75" s="109">
        <v>18052812516</v>
      </c>
      <c r="C75" s="109">
        <v>6798012240</v>
      </c>
      <c r="D75" s="110">
        <v>12361290449</v>
      </c>
    </row>
    <row r="76" spans="1:4">
      <c r="A76" s="108" t="s">
        <v>138</v>
      </c>
      <c r="B76" s="109">
        <v>19693165853</v>
      </c>
      <c r="C76" s="109">
        <v>43418388591</v>
      </c>
      <c r="D76" s="110">
        <v>55946457238</v>
      </c>
    </row>
    <row r="77" spans="1:4">
      <c r="A77" s="108" t="s">
        <v>342</v>
      </c>
      <c r="B77" s="109">
        <v>1991239173</v>
      </c>
      <c r="C77" s="109">
        <v>1675855617</v>
      </c>
      <c r="D77" s="112"/>
    </row>
    <row r="78" spans="1:4">
      <c r="A78" s="108" t="s">
        <v>343</v>
      </c>
      <c r="B78" s="109">
        <v>77422814362</v>
      </c>
      <c r="C78" s="109">
        <v>88803803572</v>
      </c>
      <c r="D78" s="110">
        <v>41878433703</v>
      </c>
    </row>
    <row r="79" spans="1:4">
      <c r="A79" s="108" t="s">
        <v>140</v>
      </c>
      <c r="B79" s="109">
        <v>19778378833</v>
      </c>
      <c r="C79" s="109">
        <v>12497548372</v>
      </c>
      <c r="D79" s="110">
        <v>-61769430467</v>
      </c>
    </row>
    <row r="80" spans="1:4">
      <c r="A80" s="108" t="s">
        <v>141</v>
      </c>
      <c r="B80" s="109">
        <v>337133398983</v>
      </c>
      <c r="C80" s="109">
        <v>181767753376</v>
      </c>
      <c r="D80" s="110">
        <v>431061324374</v>
      </c>
    </row>
    <row r="81" spans="1:4">
      <c r="A81" s="108" t="s">
        <v>142</v>
      </c>
      <c r="B81" s="109">
        <v>127083431941</v>
      </c>
      <c r="C81" s="109">
        <v>73658194485</v>
      </c>
      <c r="D81" s="110">
        <v>119935077238</v>
      </c>
    </row>
    <row r="82" spans="1:4">
      <c r="A82" s="108" t="s">
        <v>163</v>
      </c>
      <c r="B82" s="109">
        <v>210049967042</v>
      </c>
      <c r="C82" s="109">
        <v>108109558891</v>
      </c>
      <c r="D82" s="110">
        <v>311126247136</v>
      </c>
    </row>
    <row r="83" spans="1:4">
      <c r="A83" s="108" t="s">
        <v>144</v>
      </c>
      <c r="B83" s="109">
        <v>70094050188</v>
      </c>
      <c r="C83" s="109">
        <v>-183139472022</v>
      </c>
      <c r="D83" s="110">
        <v>84774356588</v>
      </c>
    </row>
    <row r="84" spans="1:4">
      <c r="A84" s="108" t="s">
        <v>145</v>
      </c>
      <c r="B84" s="109">
        <v>4136059839</v>
      </c>
      <c r="C84" s="109">
        <v>-46331147495</v>
      </c>
      <c r="D84" s="110">
        <v>54321294728</v>
      </c>
    </row>
    <row r="85" spans="1:4">
      <c r="A85" s="108" t="s">
        <v>316</v>
      </c>
      <c r="B85" s="109">
        <v>5146982045</v>
      </c>
      <c r="C85" s="109">
        <v>-46331147495</v>
      </c>
      <c r="D85" s="110">
        <v>55890295301</v>
      </c>
    </row>
    <row r="86" spans="1:4">
      <c r="A86" s="108" t="s">
        <v>344</v>
      </c>
      <c r="B86" s="109">
        <v>-1010922206</v>
      </c>
      <c r="C86" s="111"/>
      <c r="D86" s="112"/>
    </row>
    <row r="87" spans="1:4">
      <c r="A87" s="108" t="s">
        <v>345</v>
      </c>
      <c r="B87" s="111"/>
      <c r="C87" s="111"/>
      <c r="D87" s="110">
        <v>-1569000573</v>
      </c>
    </row>
    <row r="88" spans="1:4">
      <c r="A88" s="108" t="s">
        <v>147</v>
      </c>
      <c r="B88" s="109">
        <v>65957990349</v>
      </c>
      <c r="C88" s="109">
        <v>-136808324527</v>
      </c>
      <c r="D88" s="110">
        <v>30453061860</v>
      </c>
    </row>
    <row r="89" spans="1:4">
      <c r="A89" s="108" t="s">
        <v>148</v>
      </c>
      <c r="B89" s="109">
        <v>-2024742620</v>
      </c>
      <c r="C89" s="109">
        <v>1376708796</v>
      </c>
      <c r="D89" s="110">
        <v>20703776070</v>
      </c>
    </row>
    <row r="90" spans="1:4">
      <c r="A90" s="108" t="s">
        <v>149</v>
      </c>
      <c r="B90" s="109">
        <v>60639963294</v>
      </c>
      <c r="C90" s="109">
        <v>-123965474269</v>
      </c>
      <c r="D90" s="110">
        <v>-10166892436</v>
      </c>
    </row>
    <row r="91" spans="1:4">
      <c r="A91" s="108" t="s">
        <v>187</v>
      </c>
      <c r="B91" s="111"/>
      <c r="C91" s="109">
        <v>423763369</v>
      </c>
      <c r="D91" s="110">
        <v>208542942</v>
      </c>
    </row>
    <row r="92" spans="1:4">
      <c r="A92" s="108" t="s">
        <v>150</v>
      </c>
      <c r="B92" s="109">
        <v>7342769675</v>
      </c>
      <c r="C92" s="109">
        <v>-14643322423</v>
      </c>
      <c r="D92" s="110">
        <v>19707635284</v>
      </c>
    </row>
    <row r="93" spans="1:4">
      <c r="A93" s="108" t="s">
        <v>346</v>
      </c>
      <c r="B93" s="109">
        <v>70094050188</v>
      </c>
      <c r="C93" s="109">
        <v>-183139472022</v>
      </c>
      <c r="D93" s="110">
        <v>84774356588</v>
      </c>
    </row>
    <row r="94" spans="1:4">
      <c r="A94" s="108" t="s">
        <v>164</v>
      </c>
      <c r="B94" s="109">
        <v>280144017230</v>
      </c>
      <c r="C94" s="109">
        <v>-75029913131</v>
      </c>
      <c r="D94" s="110">
        <v>395900603724</v>
      </c>
    </row>
    <row r="95" spans="1:4">
      <c r="A95" s="108" t="s">
        <v>189</v>
      </c>
      <c r="B95" s="111"/>
      <c r="C95" s="111"/>
      <c r="D95" s="112"/>
    </row>
    <row r="96" spans="1:4">
      <c r="A96" s="108" t="s">
        <v>318</v>
      </c>
      <c r="B96" s="109">
        <v>143546058058</v>
      </c>
      <c r="C96" s="109">
        <v>62387687494</v>
      </c>
      <c r="D96" s="110">
        <v>323344136353</v>
      </c>
    </row>
    <row r="97" spans="1:4">
      <c r="A97" s="108" t="s">
        <v>319</v>
      </c>
      <c r="B97" s="109">
        <v>66503908984</v>
      </c>
      <c r="C97" s="109">
        <v>45721871397</v>
      </c>
      <c r="D97" s="110">
        <v>-12217889217</v>
      </c>
    </row>
    <row r="98" spans="1:4">
      <c r="A98" s="108" t="s">
        <v>320</v>
      </c>
      <c r="B98" s="111"/>
      <c r="C98" s="111"/>
      <c r="D98" s="112"/>
    </row>
    <row r="99" spans="1:4">
      <c r="A99" s="108" t="s">
        <v>321</v>
      </c>
      <c r="B99" s="109">
        <v>192443538630</v>
      </c>
      <c r="C99" s="109">
        <v>-68086024099</v>
      </c>
      <c r="D99" s="110">
        <v>378522557627</v>
      </c>
    </row>
    <row r="100" spans="1:4">
      <c r="A100" s="108" t="s">
        <v>322</v>
      </c>
      <c r="B100" s="109">
        <v>87700478600</v>
      </c>
      <c r="C100" s="109">
        <v>-6943889032</v>
      </c>
      <c r="D100" s="110">
        <v>17378046097</v>
      </c>
    </row>
    <row r="101" spans="1:4">
      <c r="A101" s="108" t="s">
        <v>158</v>
      </c>
      <c r="B101" s="111"/>
      <c r="C101" s="111"/>
      <c r="D101" s="112"/>
    </row>
    <row r="102" spans="1:4">
      <c r="A102" s="108" t="s">
        <v>159</v>
      </c>
      <c r="B102" s="109">
        <v>2349</v>
      </c>
      <c r="C102" s="109">
        <v>1030</v>
      </c>
      <c r="D102" s="110">
        <v>5684</v>
      </c>
    </row>
    <row r="103" spans="1:4">
      <c r="A103" s="113" t="s">
        <v>160</v>
      </c>
      <c r="B103" s="114">
        <v>2349</v>
      </c>
      <c r="C103" s="114">
        <v>1030</v>
      </c>
      <c r="D103" s="123">
        <v>5383</v>
      </c>
    </row>
  </sheetData>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2"/>
  <sheetViews>
    <sheetView topLeftCell="A58" zoomScale="85" zoomScaleNormal="85" workbookViewId="0">
      <selection activeCell="A89" sqref="A89"/>
    </sheetView>
  </sheetViews>
  <sheetFormatPr defaultRowHeight="16.5"/>
  <cols>
    <col min="1" max="1" width="57" customWidth="1"/>
    <col min="2" max="3" width="17.75" bestFit="1" customWidth="1"/>
    <col min="4" max="5" width="16" bestFit="1" customWidth="1"/>
  </cols>
  <sheetData>
    <row r="1" spans="1:5">
      <c r="A1" s="102" t="s">
        <v>122</v>
      </c>
      <c r="B1" s="103"/>
      <c r="C1" s="103"/>
      <c r="D1" s="103"/>
      <c r="E1" s="103"/>
    </row>
    <row r="2" spans="1:5">
      <c r="A2" s="104" t="s">
        <v>123</v>
      </c>
      <c r="B2" s="103"/>
      <c r="C2" s="103"/>
      <c r="D2" s="103"/>
      <c r="E2" s="103"/>
    </row>
    <row r="3" spans="1:5">
      <c r="A3" s="104" t="s">
        <v>124</v>
      </c>
      <c r="B3" s="103"/>
      <c r="C3" s="103"/>
      <c r="D3" s="103"/>
      <c r="E3" s="103"/>
    </row>
    <row r="4" spans="1:5">
      <c r="A4" s="105" t="s">
        <v>125</v>
      </c>
      <c r="B4" s="103"/>
      <c r="C4" s="103"/>
      <c r="D4" s="103"/>
      <c r="E4" s="103"/>
    </row>
    <row r="5" spans="1:5">
      <c r="A5" s="488"/>
      <c r="B5" s="490" t="s">
        <v>126</v>
      </c>
      <c r="C5" s="491"/>
      <c r="D5" s="490" t="s">
        <v>127</v>
      </c>
      <c r="E5" s="492"/>
    </row>
    <row r="6" spans="1:5">
      <c r="A6" s="489"/>
      <c r="B6" s="106" t="s">
        <v>128</v>
      </c>
      <c r="C6" s="106" t="s">
        <v>129</v>
      </c>
      <c r="D6" s="106" t="s">
        <v>128</v>
      </c>
      <c r="E6" s="107" t="s">
        <v>129</v>
      </c>
    </row>
    <row r="7" spans="1:5">
      <c r="A7" s="108" t="s">
        <v>130</v>
      </c>
      <c r="B7" s="109">
        <v>834576235644</v>
      </c>
      <c r="C7" s="109">
        <v>834576235644</v>
      </c>
      <c r="D7" s="109">
        <v>676917107443</v>
      </c>
      <c r="E7" s="110">
        <v>676917107443</v>
      </c>
    </row>
    <row r="8" spans="1:5">
      <c r="A8" s="108" t="s">
        <v>131</v>
      </c>
      <c r="B8" s="109">
        <v>416857332871</v>
      </c>
      <c r="C8" s="109">
        <v>416857332871</v>
      </c>
      <c r="D8" s="109">
        <v>334919182430</v>
      </c>
      <c r="E8" s="110">
        <v>334919182430</v>
      </c>
    </row>
    <row r="9" spans="1:5">
      <c r="A9" s="108" t="s">
        <v>132</v>
      </c>
      <c r="B9" s="109">
        <v>417718902773</v>
      </c>
      <c r="C9" s="109">
        <v>417718902773</v>
      </c>
      <c r="D9" s="109">
        <v>341997925013</v>
      </c>
      <c r="E9" s="110">
        <v>341997925013</v>
      </c>
    </row>
    <row r="10" spans="1:5">
      <c r="A10" s="108" t="s">
        <v>133</v>
      </c>
      <c r="B10" s="109">
        <v>301868925795</v>
      </c>
      <c r="C10" s="109">
        <v>301868925795</v>
      </c>
      <c r="D10" s="109">
        <v>257065770679</v>
      </c>
      <c r="E10" s="110">
        <v>257065770679</v>
      </c>
    </row>
    <row r="11" spans="1:5">
      <c r="A11" s="108" t="s">
        <v>134</v>
      </c>
      <c r="B11" s="109">
        <v>115849976978</v>
      </c>
      <c r="C11" s="109">
        <v>115849976978</v>
      </c>
      <c r="D11" s="109">
        <v>84932154334</v>
      </c>
      <c r="E11" s="110">
        <v>84932154334</v>
      </c>
    </row>
    <row r="12" spans="1:5">
      <c r="A12" s="108" t="s">
        <v>135</v>
      </c>
      <c r="B12" s="109">
        <v>3104230959</v>
      </c>
      <c r="C12" s="109">
        <v>3104230959</v>
      </c>
      <c r="D12" s="109">
        <v>1243681584</v>
      </c>
      <c r="E12" s="110">
        <v>1243681584</v>
      </c>
    </row>
    <row r="13" spans="1:5">
      <c r="A13" s="108" t="s">
        <v>136</v>
      </c>
      <c r="B13" s="109">
        <v>912112473</v>
      </c>
      <c r="C13" s="109">
        <v>912112473</v>
      </c>
      <c r="D13" s="109">
        <v>771341060</v>
      </c>
      <c r="E13" s="110">
        <v>771341060</v>
      </c>
    </row>
    <row r="14" spans="1:5">
      <c r="A14" s="108" t="s">
        <v>137</v>
      </c>
      <c r="B14" s="109">
        <v>405470484</v>
      </c>
      <c r="C14" s="109">
        <v>405470484</v>
      </c>
      <c r="D14" s="109">
        <v>607609853</v>
      </c>
      <c r="E14" s="110">
        <v>607609853</v>
      </c>
    </row>
    <row r="15" spans="1:5">
      <c r="A15" s="108" t="s">
        <v>138</v>
      </c>
      <c r="B15" s="109">
        <v>5258194127</v>
      </c>
      <c r="C15" s="109">
        <v>5258194127</v>
      </c>
      <c r="D15" s="109">
        <v>8943135200</v>
      </c>
      <c r="E15" s="110">
        <v>8943135200</v>
      </c>
    </row>
    <row r="16" spans="1:5">
      <c r="A16" s="108" t="s">
        <v>139</v>
      </c>
      <c r="B16" s="109">
        <v>20679232912</v>
      </c>
      <c r="C16" s="109">
        <v>20679232912</v>
      </c>
      <c r="D16" s="109">
        <v>19091772725</v>
      </c>
      <c r="E16" s="110">
        <v>19091772725</v>
      </c>
    </row>
    <row r="17" spans="1:5">
      <c r="A17" s="108" t="s">
        <v>140</v>
      </c>
      <c r="B17" s="109">
        <v>6344551136</v>
      </c>
      <c r="C17" s="109">
        <v>6344551136</v>
      </c>
      <c r="D17" s="109">
        <v>4885995542</v>
      </c>
      <c r="E17" s="110">
        <v>4885995542</v>
      </c>
    </row>
    <row r="18" spans="1:5">
      <c r="A18" s="108" t="s">
        <v>141</v>
      </c>
      <c r="B18" s="109">
        <v>109371078299</v>
      </c>
      <c r="C18" s="109">
        <v>109371078299</v>
      </c>
      <c r="D18" s="109">
        <v>80749462728</v>
      </c>
      <c r="E18" s="110">
        <v>80749462728</v>
      </c>
    </row>
    <row r="19" spans="1:5">
      <c r="A19" s="108" t="s">
        <v>192</v>
      </c>
      <c r="B19" s="109">
        <v>13161028507</v>
      </c>
      <c r="C19" s="109">
        <v>13161028507</v>
      </c>
      <c r="D19" s="109">
        <v>1013199122</v>
      </c>
      <c r="E19" s="110">
        <v>1013199122</v>
      </c>
    </row>
    <row r="20" spans="1:5">
      <c r="A20" s="108" t="s">
        <v>143</v>
      </c>
      <c r="B20" s="109">
        <v>96210049792</v>
      </c>
      <c r="C20" s="109">
        <v>96210049792</v>
      </c>
      <c r="D20" s="109">
        <v>79736263606</v>
      </c>
      <c r="E20" s="110">
        <v>79736263606</v>
      </c>
    </row>
    <row r="21" spans="1:5">
      <c r="A21" s="108" t="s">
        <v>144</v>
      </c>
      <c r="B21" s="111"/>
      <c r="C21" s="111"/>
      <c r="D21" s="111"/>
      <c r="E21" s="112"/>
    </row>
    <row r="22" spans="1:5">
      <c r="A22" s="108" t="s">
        <v>145</v>
      </c>
      <c r="B22" s="111"/>
      <c r="C22" s="111"/>
      <c r="D22" s="111"/>
      <c r="E22" s="112"/>
    </row>
    <row r="23" spans="1:5">
      <c r="A23" s="108" t="s">
        <v>146</v>
      </c>
      <c r="B23" s="109">
        <v>1306974225</v>
      </c>
      <c r="C23" s="109">
        <v>1306974225</v>
      </c>
      <c r="D23" s="109">
        <v>1347260368</v>
      </c>
      <c r="E23" s="110">
        <v>1347260368</v>
      </c>
    </row>
    <row r="24" spans="1:5">
      <c r="A24" s="108" t="s">
        <v>147</v>
      </c>
      <c r="B24" s="111"/>
      <c r="C24" s="111"/>
      <c r="D24" s="111"/>
      <c r="E24" s="112"/>
    </row>
    <row r="25" spans="1:5">
      <c r="A25" s="108" t="s">
        <v>148</v>
      </c>
      <c r="B25" s="109">
        <v>825266294</v>
      </c>
      <c r="C25" s="109">
        <v>825266294</v>
      </c>
      <c r="D25" s="109">
        <v>1161407854</v>
      </c>
      <c r="E25" s="110">
        <v>1161407854</v>
      </c>
    </row>
    <row r="26" spans="1:5">
      <c r="A26" s="108" t="s">
        <v>149</v>
      </c>
      <c r="B26" s="109">
        <v>18997875034</v>
      </c>
      <c r="C26" s="109">
        <v>18997875034</v>
      </c>
      <c r="D26" s="109">
        <v>-5362710022</v>
      </c>
      <c r="E26" s="110">
        <v>-5362710022</v>
      </c>
    </row>
    <row r="27" spans="1:5">
      <c r="A27" s="108" t="s">
        <v>150</v>
      </c>
      <c r="B27" s="109">
        <v>-108521148</v>
      </c>
      <c r="C27" s="109">
        <v>-108521148</v>
      </c>
      <c r="D27" s="109">
        <v>-2129424125</v>
      </c>
      <c r="E27" s="110">
        <v>-2129424125</v>
      </c>
    </row>
    <row r="28" spans="1:5">
      <c r="A28" s="108" t="s">
        <v>151</v>
      </c>
      <c r="B28" s="109">
        <v>21021594405</v>
      </c>
      <c r="C28" s="109">
        <v>21021594405</v>
      </c>
      <c r="D28" s="109">
        <v>-4983465925</v>
      </c>
      <c r="E28" s="110">
        <v>-4983465925</v>
      </c>
    </row>
    <row r="29" spans="1:5">
      <c r="A29" s="108" t="s">
        <v>152</v>
      </c>
      <c r="B29" s="109">
        <v>117231644197</v>
      </c>
      <c r="C29" s="109">
        <v>117231644197</v>
      </c>
      <c r="D29" s="109">
        <v>74752797681</v>
      </c>
      <c r="E29" s="110">
        <v>74752797681</v>
      </c>
    </row>
    <row r="30" spans="1:5">
      <c r="A30" s="108" t="s">
        <v>153</v>
      </c>
      <c r="B30" s="111"/>
      <c r="C30" s="111"/>
      <c r="D30" s="111"/>
      <c r="E30" s="112"/>
    </row>
    <row r="31" spans="1:5">
      <c r="A31" s="108" t="s">
        <v>154</v>
      </c>
      <c r="B31" s="109">
        <v>70278367767</v>
      </c>
      <c r="C31" s="109">
        <v>70278367767</v>
      </c>
      <c r="D31" s="109">
        <v>38113369174</v>
      </c>
      <c r="E31" s="110">
        <v>38113369174</v>
      </c>
    </row>
    <row r="32" spans="1:5">
      <c r="A32" s="108" t="s">
        <v>155</v>
      </c>
      <c r="B32" s="109">
        <v>25931682025</v>
      </c>
      <c r="C32" s="109">
        <v>25931682025</v>
      </c>
      <c r="D32" s="109">
        <v>41622894432</v>
      </c>
      <c r="E32" s="110">
        <v>41622894432</v>
      </c>
    </row>
    <row r="33" spans="1:5">
      <c r="A33" s="108" t="s">
        <v>156</v>
      </c>
      <c r="B33" s="111"/>
      <c r="C33" s="111"/>
      <c r="D33" s="111"/>
      <c r="E33" s="112"/>
    </row>
    <row r="34" spans="1:5">
      <c r="A34" s="108" t="s">
        <v>154</v>
      </c>
      <c r="B34" s="109">
        <v>87515567121</v>
      </c>
      <c r="C34" s="109">
        <v>87515567121</v>
      </c>
      <c r="D34" s="109">
        <v>53389111298</v>
      </c>
      <c r="E34" s="110">
        <v>53389111298</v>
      </c>
    </row>
    <row r="35" spans="1:5">
      <c r="A35" s="108" t="s">
        <v>157</v>
      </c>
      <c r="B35" s="109">
        <v>29716077076</v>
      </c>
      <c r="C35" s="109">
        <v>29716077076</v>
      </c>
      <c r="D35" s="109">
        <v>21363686383</v>
      </c>
      <c r="E35" s="110">
        <v>21363686383</v>
      </c>
    </row>
    <row r="36" spans="1:5">
      <c r="A36" s="108" t="s">
        <v>158</v>
      </c>
      <c r="B36" s="111"/>
      <c r="C36" s="111"/>
      <c r="D36" s="111"/>
      <c r="E36" s="112"/>
    </row>
    <row r="37" spans="1:5">
      <c r="A37" s="108" t="s">
        <v>159</v>
      </c>
      <c r="B37" s="109">
        <v>1150</v>
      </c>
      <c r="C37" s="109">
        <v>1150</v>
      </c>
      <c r="D37" s="111">
        <v>624</v>
      </c>
      <c r="E37" s="112">
        <v>624</v>
      </c>
    </row>
    <row r="38" spans="1:5">
      <c r="A38" s="113" t="s">
        <v>160</v>
      </c>
      <c r="B38" s="114">
        <v>1150</v>
      </c>
      <c r="C38" s="114">
        <v>1150</v>
      </c>
      <c r="D38" s="115">
        <v>624</v>
      </c>
      <c r="E38" s="116">
        <v>624</v>
      </c>
    </row>
    <row r="45" spans="1:5">
      <c r="A45" s="102" t="s">
        <v>195</v>
      </c>
      <c r="B45" s="103"/>
      <c r="C45" s="103"/>
    </row>
    <row r="46" spans="1:5">
      <c r="A46" s="104" t="s">
        <v>196</v>
      </c>
      <c r="B46" s="103"/>
      <c r="C46" s="103"/>
    </row>
    <row r="47" spans="1:5">
      <c r="A47" s="104" t="s">
        <v>197</v>
      </c>
      <c r="B47" s="103"/>
      <c r="C47" s="103"/>
    </row>
    <row r="48" spans="1:5">
      <c r="A48" s="105" t="s">
        <v>125</v>
      </c>
      <c r="B48" s="103"/>
      <c r="C48" s="103"/>
    </row>
    <row r="49" spans="1:3">
      <c r="A49" s="127"/>
      <c r="B49" s="128" t="s">
        <v>198</v>
      </c>
      <c r="C49" s="129" t="s">
        <v>199</v>
      </c>
    </row>
    <row r="50" spans="1:3">
      <c r="A50" s="108" t="s">
        <v>200</v>
      </c>
      <c r="B50" s="111"/>
      <c r="C50" s="112"/>
    </row>
    <row r="51" spans="1:3">
      <c r="A51" s="108" t="s">
        <v>201</v>
      </c>
      <c r="B51" s="109">
        <v>1556141240611</v>
      </c>
      <c r="C51" s="110">
        <v>1337877928572</v>
      </c>
    </row>
    <row r="52" spans="1:3">
      <c r="A52" s="108" t="s">
        <v>202</v>
      </c>
      <c r="B52" s="109">
        <v>200757469654</v>
      </c>
      <c r="C52" s="110">
        <v>149001324731</v>
      </c>
    </row>
    <row r="53" spans="1:3">
      <c r="A53" s="108" t="s">
        <v>203</v>
      </c>
      <c r="B53" s="109">
        <v>650916157842</v>
      </c>
      <c r="C53" s="110">
        <v>473863914281</v>
      </c>
    </row>
    <row r="54" spans="1:3">
      <c r="A54" s="108" t="s">
        <v>204</v>
      </c>
      <c r="B54" s="109">
        <v>629404830309</v>
      </c>
      <c r="C54" s="110">
        <v>632236889813</v>
      </c>
    </row>
    <row r="55" spans="1:3">
      <c r="A55" s="108" t="s">
        <v>205</v>
      </c>
      <c r="B55" s="109">
        <v>2625719260</v>
      </c>
      <c r="C55" s="110">
        <v>4244731103</v>
      </c>
    </row>
    <row r="56" spans="1:3">
      <c r="A56" s="108" t="s">
        <v>206</v>
      </c>
      <c r="B56" s="109">
        <v>10262919101</v>
      </c>
      <c r="C56" s="110">
        <v>9579026135</v>
      </c>
    </row>
    <row r="57" spans="1:3">
      <c r="A57" s="108" t="s">
        <v>207</v>
      </c>
      <c r="B57" s="109">
        <v>6945482780</v>
      </c>
      <c r="C57" s="110">
        <v>10450417807</v>
      </c>
    </row>
    <row r="58" spans="1:3">
      <c r="A58" s="108" t="s">
        <v>208</v>
      </c>
      <c r="B58" s="109">
        <v>6690705466</v>
      </c>
      <c r="C58" s="110">
        <v>6838578007</v>
      </c>
    </row>
    <row r="59" spans="1:3">
      <c r="A59" s="108" t="s">
        <v>209</v>
      </c>
      <c r="B59" s="109">
        <v>1047683123</v>
      </c>
      <c r="C59" s="110">
        <v>8906682</v>
      </c>
    </row>
    <row r="60" spans="1:3">
      <c r="A60" s="108" t="s">
        <v>210</v>
      </c>
      <c r="B60" s="109">
        <v>47490273076</v>
      </c>
      <c r="C60" s="110">
        <v>51654140013</v>
      </c>
    </row>
    <row r="61" spans="1:3">
      <c r="A61" s="108" t="s">
        <v>211</v>
      </c>
      <c r="B61" s="109">
        <v>2107329228583</v>
      </c>
      <c r="C61" s="110">
        <v>1966461579498</v>
      </c>
    </row>
    <row r="62" spans="1:3">
      <c r="A62" s="108" t="s">
        <v>212</v>
      </c>
      <c r="B62" s="109">
        <v>19795900148</v>
      </c>
      <c r="C62" s="110">
        <v>19246243033</v>
      </c>
    </row>
    <row r="63" spans="1:3">
      <c r="A63" s="108" t="s">
        <v>213</v>
      </c>
      <c r="B63" s="109">
        <v>22925551248</v>
      </c>
      <c r="C63" s="110">
        <v>17286108509</v>
      </c>
    </row>
    <row r="64" spans="1:3">
      <c r="A64" s="108" t="s">
        <v>214</v>
      </c>
      <c r="B64" s="109">
        <v>424871610812</v>
      </c>
      <c r="C64" s="110">
        <v>310716359412</v>
      </c>
    </row>
    <row r="65" spans="1:3">
      <c r="A65" s="108" t="s">
        <v>215</v>
      </c>
      <c r="B65" s="109">
        <v>1509420130804</v>
      </c>
      <c r="C65" s="110">
        <v>1491948339883</v>
      </c>
    </row>
    <row r="66" spans="1:3">
      <c r="A66" s="108" t="s">
        <v>216</v>
      </c>
      <c r="B66" s="109">
        <v>51833872805</v>
      </c>
      <c r="C66" s="110">
        <v>43806106986</v>
      </c>
    </row>
    <row r="67" spans="1:3">
      <c r="A67" s="108" t="s">
        <v>217</v>
      </c>
      <c r="B67" s="109">
        <v>2110480000</v>
      </c>
      <c r="C67" s="110">
        <v>2110480000</v>
      </c>
    </row>
    <row r="68" spans="1:3">
      <c r="A68" s="108" t="s">
        <v>218</v>
      </c>
      <c r="B68" s="109">
        <v>1272673674</v>
      </c>
      <c r="C68" s="110">
        <v>1134718320</v>
      </c>
    </row>
    <row r="69" spans="1:3">
      <c r="A69" s="108" t="s">
        <v>219</v>
      </c>
      <c r="B69" s="109">
        <v>69855162679</v>
      </c>
      <c r="C69" s="110">
        <v>74672051151</v>
      </c>
    </row>
    <row r="70" spans="1:3">
      <c r="A70" s="108" t="s">
        <v>220</v>
      </c>
      <c r="B70" s="109">
        <v>5243846413</v>
      </c>
      <c r="C70" s="110">
        <v>5541172204</v>
      </c>
    </row>
    <row r="71" spans="1:3">
      <c r="A71" s="108" t="s">
        <v>221</v>
      </c>
      <c r="B71" s="109">
        <v>3663470469194</v>
      </c>
      <c r="C71" s="110">
        <v>3304339508070</v>
      </c>
    </row>
    <row r="72" spans="1:3">
      <c r="A72" s="108" t="s">
        <v>222</v>
      </c>
      <c r="B72" s="111"/>
      <c r="C72" s="112"/>
    </row>
    <row r="73" spans="1:3">
      <c r="A73" s="108" t="s">
        <v>223</v>
      </c>
      <c r="B73" s="109">
        <v>828083054044</v>
      </c>
      <c r="C73" s="110">
        <v>672315662546</v>
      </c>
    </row>
    <row r="74" spans="1:3">
      <c r="A74" s="108" t="s">
        <v>224</v>
      </c>
      <c r="B74" s="109">
        <v>377898217338</v>
      </c>
      <c r="C74" s="110">
        <v>405997471248</v>
      </c>
    </row>
    <row r="75" spans="1:3">
      <c r="A75" s="108" t="s">
        <v>225</v>
      </c>
      <c r="B75" s="109">
        <v>328467425515</v>
      </c>
      <c r="C75" s="110">
        <v>174425639360</v>
      </c>
    </row>
    <row r="76" spans="1:3">
      <c r="A76" s="108" t="s">
        <v>226</v>
      </c>
      <c r="B76" s="109">
        <v>20832438427</v>
      </c>
      <c r="C76" s="110">
        <v>204323830</v>
      </c>
    </row>
    <row r="77" spans="1:3">
      <c r="A77" s="108" t="s">
        <v>227</v>
      </c>
      <c r="B77" s="109">
        <v>1666032753</v>
      </c>
      <c r="C77" s="110">
        <v>1235018599</v>
      </c>
    </row>
    <row r="78" spans="1:3">
      <c r="A78" s="108" t="s">
        <v>228</v>
      </c>
      <c r="B78" s="109">
        <v>603116362</v>
      </c>
      <c r="C78" s="110">
        <v>614177748</v>
      </c>
    </row>
    <row r="79" spans="1:3">
      <c r="A79" s="108" t="s">
        <v>229</v>
      </c>
      <c r="B79" s="109">
        <v>22050737412</v>
      </c>
      <c r="C79" s="110">
        <v>21939737844</v>
      </c>
    </row>
    <row r="80" spans="1:3">
      <c r="A80" s="108" t="s">
        <v>230</v>
      </c>
      <c r="B80" s="109">
        <v>33307682788</v>
      </c>
      <c r="C80" s="110">
        <v>31653653281</v>
      </c>
    </row>
    <row r="81" spans="1:3">
      <c r="A81" s="108" t="s">
        <v>231</v>
      </c>
      <c r="B81" s="109">
        <v>43257403449</v>
      </c>
      <c r="C81" s="110">
        <v>36245640636</v>
      </c>
    </row>
    <row r="82" spans="1:3">
      <c r="A82" s="108" t="s">
        <v>232</v>
      </c>
      <c r="B82" s="109">
        <v>1229184525120</v>
      </c>
      <c r="C82" s="110">
        <v>1125529969365</v>
      </c>
    </row>
    <row r="83" spans="1:3">
      <c r="A83" s="108" t="s">
        <v>233</v>
      </c>
      <c r="B83" s="109">
        <v>13963910097</v>
      </c>
      <c r="C83" s="110">
        <v>13784891081</v>
      </c>
    </row>
    <row r="84" spans="1:3" s="369" customFormat="1">
      <c r="A84" s="139" t="s">
        <v>234</v>
      </c>
      <c r="B84" s="140">
        <v>734616787774</v>
      </c>
      <c r="C84" s="141">
        <v>746949775950</v>
      </c>
    </row>
    <row r="85" spans="1:3" s="369" customFormat="1">
      <c r="A85" s="139" t="s">
        <v>235</v>
      </c>
      <c r="B85" s="140">
        <v>62307429731</v>
      </c>
      <c r="C85" s="141">
        <v>61175397210</v>
      </c>
    </row>
    <row r="86" spans="1:3" s="369" customFormat="1">
      <c r="A86" s="139" t="s">
        <v>236</v>
      </c>
      <c r="B86" s="140">
        <v>106098481225</v>
      </c>
      <c r="C86" s="141">
        <v>409770233</v>
      </c>
    </row>
    <row r="87" spans="1:3" s="7" customFormat="1">
      <c r="A87" s="372" t="s">
        <v>237</v>
      </c>
      <c r="B87" s="373">
        <v>1576895225</v>
      </c>
      <c r="C87" s="374">
        <v>1214102303</v>
      </c>
    </row>
    <row r="88" spans="1:3" s="369" customFormat="1">
      <c r="A88" s="139" t="s">
        <v>238</v>
      </c>
      <c r="B88" s="140">
        <v>136484760247</v>
      </c>
      <c r="C88" s="141">
        <v>131076549709</v>
      </c>
    </row>
    <row r="89" spans="1:3" s="369" customFormat="1">
      <c r="A89" s="139" t="s">
        <v>239</v>
      </c>
      <c r="B89" s="140">
        <v>151646450147</v>
      </c>
      <c r="C89" s="141">
        <v>142583050574</v>
      </c>
    </row>
    <row r="90" spans="1:3">
      <c r="A90" s="108" t="s">
        <v>240</v>
      </c>
      <c r="B90" s="109">
        <v>10832130209</v>
      </c>
      <c r="C90" s="110">
        <v>13652467247</v>
      </c>
    </row>
    <row r="91" spans="1:3">
      <c r="A91" s="108" t="s">
        <v>241</v>
      </c>
      <c r="B91" s="109">
        <v>11657680465</v>
      </c>
      <c r="C91" s="110">
        <v>14683965058</v>
      </c>
    </row>
    <row r="92" spans="1:3">
      <c r="A92" s="108" t="s">
        <v>242</v>
      </c>
      <c r="B92" s="109">
        <v>2057267579164</v>
      </c>
      <c r="C92" s="110">
        <v>1797845631911</v>
      </c>
    </row>
    <row r="93" spans="1:3">
      <c r="A93" s="108" t="s">
        <v>243</v>
      </c>
      <c r="B93" s="111"/>
      <c r="C93" s="112"/>
    </row>
    <row r="94" spans="1:3">
      <c r="A94" s="108" t="s">
        <v>244</v>
      </c>
      <c r="B94" s="109">
        <v>1070796120553</v>
      </c>
      <c r="C94" s="110">
        <v>991677842021</v>
      </c>
    </row>
    <row r="95" spans="1:3">
      <c r="A95" s="108" t="s">
        <v>245</v>
      </c>
      <c r="B95" s="109">
        <v>61115070000</v>
      </c>
      <c r="C95" s="110">
        <v>61115070000</v>
      </c>
    </row>
    <row r="96" spans="1:3">
      <c r="A96" s="108" t="s">
        <v>246</v>
      </c>
      <c r="B96" s="109">
        <v>117766679366</v>
      </c>
      <c r="C96" s="110">
        <v>117766679366</v>
      </c>
    </row>
    <row r="97" spans="1:3">
      <c r="A97" s="108" t="s">
        <v>247</v>
      </c>
      <c r="B97" s="109">
        <v>-15659834625</v>
      </c>
      <c r="C97" s="110">
        <v>-9060116061</v>
      </c>
    </row>
    <row r="98" spans="1:3">
      <c r="A98" s="108" t="s">
        <v>248</v>
      </c>
      <c r="B98" s="109">
        <v>16633973727</v>
      </c>
      <c r="C98" s="110">
        <v>-583013337</v>
      </c>
    </row>
    <row r="99" spans="1:3">
      <c r="A99" s="108" t="s">
        <v>249</v>
      </c>
      <c r="B99" s="109">
        <v>890940232085</v>
      </c>
      <c r="C99" s="110">
        <v>822439222053</v>
      </c>
    </row>
    <row r="100" spans="1:3">
      <c r="A100" s="108" t="s">
        <v>157</v>
      </c>
      <c r="B100" s="109">
        <v>535406769477</v>
      </c>
      <c r="C100" s="110">
        <v>514816034138</v>
      </c>
    </row>
    <row r="101" spans="1:3">
      <c r="A101" s="108" t="s">
        <v>250</v>
      </c>
      <c r="B101" s="109">
        <v>1606202890030</v>
      </c>
      <c r="C101" s="110">
        <v>1506493876159</v>
      </c>
    </row>
    <row r="102" spans="1:3">
      <c r="A102" s="113" t="s">
        <v>251</v>
      </c>
      <c r="B102" s="114">
        <v>3663470469194</v>
      </c>
      <c r="C102" s="123">
        <v>3304339508070</v>
      </c>
    </row>
  </sheetData>
  <mergeCells count="3">
    <mergeCell ref="A5:A6"/>
    <mergeCell ref="B5:C5"/>
    <mergeCell ref="D5:E5"/>
  </mergeCells>
  <phoneticPr fontId="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01"/>
  <sheetViews>
    <sheetView topLeftCell="A55" zoomScale="85" zoomScaleNormal="85" workbookViewId="0">
      <selection activeCell="B84" sqref="B84"/>
    </sheetView>
  </sheetViews>
  <sheetFormatPr defaultRowHeight="16.5"/>
  <cols>
    <col min="1" max="1" width="54.75" style="103" bestFit="1" customWidth="1"/>
    <col min="2" max="3" width="17.75" style="103" bestFit="1" customWidth="1"/>
    <col min="4" max="4" width="16" style="103" bestFit="1" customWidth="1"/>
    <col min="5" max="5" width="17.75" style="103" bestFit="1" customWidth="1"/>
    <col min="6" max="16384" width="9" style="103"/>
  </cols>
  <sheetData>
    <row r="1" spans="1:5">
      <c r="A1" s="102" t="s">
        <v>122</v>
      </c>
    </row>
    <row r="2" spans="1:5">
      <c r="A2" s="104" t="s">
        <v>165</v>
      </c>
    </row>
    <row r="3" spans="1:5">
      <c r="A3" s="104" t="s">
        <v>166</v>
      </c>
    </row>
    <row r="4" spans="1:5">
      <c r="A4" s="105" t="s">
        <v>125</v>
      </c>
    </row>
    <row r="5" spans="1:5">
      <c r="A5" s="488"/>
      <c r="B5" s="490" t="s">
        <v>167</v>
      </c>
      <c r="C5" s="491"/>
      <c r="D5" s="490" t="s">
        <v>168</v>
      </c>
      <c r="E5" s="492"/>
    </row>
    <row r="6" spans="1:5">
      <c r="A6" s="489"/>
      <c r="B6" s="106" t="s">
        <v>128</v>
      </c>
      <c r="C6" s="106" t="s">
        <v>129</v>
      </c>
      <c r="D6" s="106" t="s">
        <v>128</v>
      </c>
      <c r="E6" s="107" t="s">
        <v>129</v>
      </c>
    </row>
    <row r="7" spans="1:5">
      <c r="A7" s="108" t="s">
        <v>130</v>
      </c>
      <c r="B7" s="109">
        <v>959302647242</v>
      </c>
      <c r="C7" s="109">
        <v>1793878882886</v>
      </c>
      <c r="D7" s="109">
        <v>790169657270</v>
      </c>
      <c r="E7" s="110">
        <v>1467086764713</v>
      </c>
    </row>
    <row r="8" spans="1:5">
      <c r="A8" s="108" t="s">
        <v>131</v>
      </c>
      <c r="B8" s="109">
        <v>459305164983</v>
      </c>
      <c r="C8" s="109">
        <v>876162497854</v>
      </c>
      <c r="D8" s="109">
        <v>385876285373</v>
      </c>
      <c r="E8" s="110">
        <v>720795467803</v>
      </c>
    </row>
    <row r="9" spans="1:5">
      <c r="A9" s="108" t="s">
        <v>132</v>
      </c>
      <c r="B9" s="109">
        <v>499997482259</v>
      </c>
      <c r="C9" s="109">
        <v>917716385032</v>
      </c>
      <c r="D9" s="109">
        <v>404293371897</v>
      </c>
      <c r="E9" s="110">
        <v>746291296910</v>
      </c>
    </row>
    <row r="10" spans="1:5">
      <c r="A10" s="108" t="s">
        <v>133</v>
      </c>
      <c r="B10" s="109">
        <v>355125104996</v>
      </c>
      <c r="C10" s="109">
        <v>656994030791</v>
      </c>
      <c r="D10" s="109">
        <v>288639124536</v>
      </c>
      <c r="E10" s="110">
        <v>545704895215</v>
      </c>
    </row>
    <row r="11" spans="1:5">
      <c r="A11" s="108" t="s">
        <v>134</v>
      </c>
      <c r="B11" s="109">
        <v>144872377263</v>
      </c>
      <c r="C11" s="109">
        <v>260722354241</v>
      </c>
      <c r="D11" s="109">
        <v>115654247361</v>
      </c>
      <c r="E11" s="110">
        <v>200586401695</v>
      </c>
    </row>
    <row r="12" spans="1:5">
      <c r="A12" s="108" t="s">
        <v>135</v>
      </c>
      <c r="B12" s="109">
        <v>1120295367</v>
      </c>
      <c r="C12" s="109">
        <v>4224526326</v>
      </c>
      <c r="D12" s="109">
        <v>1771866151</v>
      </c>
      <c r="E12" s="110">
        <v>3015547735</v>
      </c>
    </row>
    <row r="13" spans="1:5">
      <c r="A13" s="108" t="s">
        <v>136</v>
      </c>
      <c r="B13" s="109">
        <v>2673468146</v>
      </c>
      <c r="C13" s="109">
        <v>3585580619</v>
      </c>
      <c r="D13" s="109">
        <v>2524875796</v>
      </c>
      <c r="E13" s="110">
        <v>3296216856</v>
      </c>
    </row>
    <row r="14" spans="1:5">
      <c r="A14" s="108" t="s">
        <v>137</v>
      </c>
      <c r="B14" s="109">
        <v>507852261</v>
      </c>
      <c r="C14" s="109">
        <v>913322745</v>
      </c>
      <c r="D14" s="109">
        <v>345973350</v>
      </c>
      <c r="E14" s="110">
        <v>953583203</v>
      </c>
    </row>
    <row r="15" spans="1:5">
      <c r="A15" s="108" t="s">
        <v>138</v>
      </c>
      <c r="B15" s="109">
        <v>8734551632</v>
      </c>
      <c r="C15" s="109">
        <v>13992745759</v>
      </c>
      <c r="D15" s="109">
        <v>6982134970</v>
      </c>
      <c r="E15" s="110">
        <v>15925270170</v>
      </c>
    </row>
    <row r="16" spans="1:5">
      <c r="A16" s="108" t="s">
        <v>139</v>
      </c>
      <c r="B16" s="109">
        <v>23365910767</v>
      </c>
      <c r="C16" s="109">
        <v>44045143679</v>
      </c>
      <c r="D16" s="109">
        <v>25544171814</v>
      </c>
      <c r="E16" s="110">
        <v>44635944539</v>
      </c>
    </row>
    <row r="17" spans="1:5">
      <c r="A17" s="108" t="s">
        <v>140</v>
      </c>
      <c r="B17" s="109">
        <v>9861280561</v>
      </c>
      <c r="C17" s="109">
        <v>16205831697</v>
      </c>
      <c r="D17" s="109">
        <v>6066237242</v>
      </c>
      <c r="E17" s="110">
        <v>10952232784</v>
      </c>
    </row>
    <row r="18" spans="1:5">
      <c r="A18" s="108" t="s">
        <v>141</v>
      </c>
      <c r="B18" s="109">
        <v>139056978171</v>
      </c>
      <c r="C18" s="109">
        <v>248428056470</v>
      </c>
      <c r="D18" s="109">
        <v>102751411464</v>
      </c>
      <c r="E18" s="110">
        <v>183500874192</v>
      </c>
    </row>
    <row r="19" spans="1:5">
      <c r="A19" s="108" t="s">
        <v>169</v>
      </c>
      <c r="B19" s="109">
        <v>47085159592</v>
      </c>
      <c r="C19" s="109">
        <v>60246188099</v>
      </c>
      <c r="D19" s="109">
        <v>21612495337</v>
      </c>
      <c r="E19" s="110">
        <v>22625694459</v>
      </c>
    </row>
    <row r="20" spans="1:5">
      <c r="A20" s="108" t="s">
        <v>193</v>
      </c>
      <c r="B20" s="109">
        <v>91971818579</v>
      </c>
      <c r="C20" s="109">
        <v>188181868371</v>
      </c>
      <c r="D20" s="109">
        <v>81138916127</v>
      </c>
      <c r="E20" s="110">
        <v>160875179733</v>
      </c>
    </row>
    <row r="21" spans="1:5">
      <c r="A21" s="108" t="s">
        <v>144</v>
      </c>
      <c r="B21" s="111"/>
      <c r="C21" s="111"/>
      <c r="D21" s="111"/>
      <c r="E21" s="112"/>
    </row>
    <row r="22" spans="1:5">
      <c r="A22" s="108" t="s">
        <v>145</v>
      </c>
      <c r="B22" s="111"/>
      <c r="C22" s="111"/>
      <c r="D22" s="111"/>
      <c r="E22" s="112"/>
    </row>
    <row r="23" spans="1:5">
      <c r="A23" s="108" t="s">
        <v>146</v>
      </c>
      <c r="B23" s="109">
        <v>1677337421</v>
      </c>
      <c r="C23" s="109">
        <v>2984311646</v>
      </c>
      <c r="D23" s="109">
        <v>1223149287</v>
      </c>
      <c r="E23" s="110">
        <v>2570409655</v>
      </c>
    </row>
    <row r="24" spans="1:5">
      <c r="A24" s="108" t="s">
        <v>171</v>
      </c>
      <c r="B24" s="111"/>
      <c r="C24" s="111"/>
      <c r="D24" s="109">
        <v>-91311793</v>
      </c>
      <c r="E24" s="110">
        <v>-1231508330</v>
      </c>
    </row>
    <row r="25" spans="1:5">
      <c r="A25" s="108" t="s">
        <v>147</v>
      </c>
      <c r="B25" s="111"/>
      <c r="C25" s="111"/>
      <c r="D25" s="111"/>
      <c r="E25" s="112"/>
    </row>
    <row r="26" spans="1:5">
      <c r="A26" s="108" t="s">
        <v>172</v>
      </c>
      <c r="B26" s="109">
        <v>-1125101193</v>
      </c>
      <c r="C26" s="109">
        <v>-299834899</v>
      </c>
      <c r="D26" s="109">
        <v>-1851257446</v>
      </c>
      <c r="E26" s="110">
        <v>-689849592</v>
      </c>
    </row>
    <row r="27" spans="1:5">
      <c r="A27" s="108" t="s">
        <v>149</v>
      </c>
      <c r="B27" s="109">
        <v>28922069725</v>
      </c>
      <c r="C27" s="109">
        <v>47919944759</v>
      </c>
      <c r="D27" s="109">
        <v>68238615448</v>
      </c>
      <c r="E27" s="110">
        <v>64016101963</v>
      </c>
    </row>
    <row r="28" spans="1:5">
      <c r="A28" s="108" t="s">
        <v>150</v>
      </c>
      <c r="B28" s="109">
        <v>-3876933709</v>
      </c>
      <c r="C28" s="109">
        <v>-3985454857</v>
      </c>
      <c r="D28" s="109">
        <v>5408687274</v>
      </c>
      <c r="E28" s="110">
        <v>3279263149</v>
      </c>
    </row>
    <row r="29" spans="1:5">
      <c r="A29" s="108" t="s">
        <v>173</v>
      </c>
      <c r="B29" s="109">
        <v>25597372244</v>
      </c>
      <c r="C29" s="109">
        <v>46618966649</v>
      </c>
      <c r="D29" s="109">
        <v>72927882770</v>
      </c>
      <c r="E29" s="110">
        <v>67944416845</v>
      </c>
    </row>
    <row r="30" spans="1:5">
      <c r="A30" s="108" t="s">
        <v>194</v>
      </c>
      <c r="B30" s="109">
        <v>117569190823</v>
      </c>
      <c r="C30" s="109">
        <v>234800835020</v>
      </c>
      <c r="D30" s="109">
        <v>154066798897</v>
      </c>
      <c r="E30" s="110">
        <v>228819596578</v>
      </c>
    </row>
    <row r="31" spans="1:5">
      <c r="A31" s="108" t="s">
        <v>175</v>
      </c>
      <c r="B31" s="111"/>
      <c r="C31" s="111"/>
      <c r="D31" s="111"/>
      <c r="E31" s="112"/>
    </row>
    <row r="32" spans="1:5">
      <c r="A32" s="108" t="s">
        <v>154</v>
      </c>
      <c r="B32" s="109">
        <v>68474641893</v>
      </c>
      <c r="C32" s="109">
        <v>138753009660</v>
      </c>
      <c r="D32" s="109">
        <v>65741443645</v>
      </c>
      <c r="E32" s="110">
        <v>103854812819</v>
      </c>
    </row>
    <row r="33" spans="1:5">
      <c r="A33" s="108" t="s">
        <v>155</v>
      </c>
      <c r="B33" s="109">
        <v>23497176686</v>
      </c>
      <c r="C33" s="109">
        <v>49428858711</v>
      </c>
      <c r="D33" s="109">
        <v>15397472482</v>
      </c>
      <c r="E33" s="110">
        <v>57020366914</v>
      </c>
    </row>
    <row r="34" spans="1:5">
      <c r="A34" s="108" t="s">
        <v>176</v>
      </c>
      <c r="B34" s="111"/>
      <c r="C34" s="111"/>
      <c r="D34" s="111"/>
      <c r="E34" s="112"/>
    </row>
    <row r="35" spans="1:5">
      <c r="A35" s="108" t="s">
        <v>154</v>
      </c>
      <c r="B35" s="109">
        <v>95051666852</v>
      </c>
      <c r="C35" s="109">
        <v>182567233973</v>
      </c>
      <c r="D35" s="109">
        <v>109071380628</v>
      </c>
      <c r="E35" s="110">
        <v>162460491926</v>
      </c>
    </row>
    <row r="36" spans="1:5">
      <c r="A36" s="108" t="s">
        <v>157</v>
      </c>
      <c r="B36" s="109">
        <v>22517523971</v>
      </c>
      <c r="C36" s="109">
        <v>52233601047</v>
      </c>
      <c r="D36" s="109">
        <v>44995418269</v>
      </c>
      <c r="E36" s="110">
        <v>66359104652</v>
      </c>
    </row>
    <row r="37" spans="1:5">
      <c r="A37" s="108" t="s">
        <v>158</v>
      </c>
      <c r="B37" s="111"/>
      <c r="C37" s="111"/>
      <c r="D37" s="111"/>
      <c r="E37" s="112"/>
    </row>
    <row r="38" spans="1:5">
      <c r="A38" s="108" t="s">
        <v>159</v>
      </c>
      <c r="B38" s="109">
        <v>1120</v>
      </c>
      <c r="C38" s="109">
        <v>2270</v>
      </c>
      <c r="D38" s="109">
        <v>1076</v>
      </c>
      <c r="E38" s="110">
        <v>1699</v>
      </c>
    </row>
    <row r="39" spans="1:5">
      <c r="A39" s="113" t="s">
        <v>160</v>
      </c>
      <c r="B39" s="114">
        <v>1120</v>
      </c>
      <c r="C39" s="114">
        <v>2270</v>
      </c>
      <c r="D39" s="114">
        <v>1076</v>
      </c>
      <c r="E39" s="123">
        <v>1699</v>
      </c>
    </row>
    <row r="42" spans="1:5">
      <c r="A42" s="92" t="s">
        <v>195</v>
      </c>
      <c r="B42"/>
      <c r="C42"/>
    </row>
    <row r="43" spans="1:5">
      <c r="A43" s="93" t="s">
        <v>252</v>
      </c>
      <c r="B43"/>
      <c r="C43"/>
    </row>
    <row r="44" spans="1:5">
      <c r="A44" s="93" t="s">
        <v>253</v>
      </c>
      <c r="B44"/>
      <c r="C44"/>
    </row>
    <row r="45" spans="1:5">
      <c r="A45" s="94" t="s">
        <v>125</v>
      </c>
      <c r="B45"/>
      <c r="C45"/>
    </row>
    <row r="46" spans="1:5">
      <c r="A46" s="124"/>
      <c r="B46" s="125" t="s">
        <v>254</v>
      </c>
      <c r="C46" s="126" t="s">
        <v>199</v>
      </c>
    </row>
    <row r="47" spans="1:5">
      <c r="A47" s="97" t="s">
        <v>200</v>
      </c>
      <c r="B47" s="96"/>
      <c r="C47" s="99"/>
    </row>
    <row r="48" spans="1:5">
      <c r="A48" s="97" t="s">
        <v>201</v>
      </c>
      <c r="B48" s="95">
        <v>1589874910876</v>
      </c>
      <c r="C48" s="98">
        <v>1337877928572</v>
      </c>
    </row>
    <row r="49" spans="1:3">
      <c r="A49" s="97" t="s">
        <v>202</v>
      </c>
      <c r="B49" s="95">
        <v>195861250570</v>
      </c>
      <c r="C49" s="98">
        <v>149001324731</v>
      </c>
    </row>
    <row r="50" spans="1:3">
      <c r="A50" s="97" t="s">
        <v>203</v>
      </c>
      <c r="B50" s="95">
        <v>641405445712</v>
      </c>
      <c r="C50" s="98">
        <v>473863914281</v>
      </c>
    </row>
    <row r="51" spans="1:3">
      <c r="A51" s="97" t="s">
        <v>204</v>
      </c>
      <c r="B51" s="95">
        <v>669079005974</v>
      </c>
      <c r="C51" s="98">
        <v>632236889813</v>
      </c>
    </row>
    <row r="52" spans="1:3">
      <c r="A52" s="97" t="s">
        <v>205</v>
      </c>
      <c r="B52" s="95">
        <v>2732776583</v>
      </c>
      <c r="C52" s="98">
        <v>4244731103</v>
      </c>
    </row>
    <row r="53" spans="1:3">
      <c r="A53" s="97" t="s">
        <v>206</v>
      </c>
      <c r="B53" s="95">
        <v>10289502326</v>
      </c>
      <c r="C53" s="98">
        <v>9579026135</v>
      </c>
    </row>
    <row r="54" spans="1:3">
      <c r="A54" s="97" t="s">
        <v>207</v>
      </c>
      <c r="B54" s="95">
        <v>16286857891</v>
      </c>
      <c r="C54" s="98">
        <v>10450417807</v>
      </c>
    </row>
    <row r="55" spans="1:3">
      <c r="A55" s="97" t="s">
        <v>208</v>
      </c>
      <c r="B55" s="95">
        <v>4858629408</v>
      </c>
      <c r="C55" s="98">
        <v>6838578007</v>
      </c>
    </row>
    <row r="56" spans="1:3">
      <c r="A56" s="97" t="s">
        <v>209</v>
      </c>
      <c r="B56" s="95">
        <v>1699286596</v>
      </c>
      <c r="C56" s="98">
        <v>8906682</v>
      </c>
    </row>
    <row r="57" spans="1:3">
      <c r="A57" s="97" t="s">
        <v>210</v>
      </c>
      <c r="B57" s="95">
        <v>47662155816</v>
      </c>
      <c r="C57" s="98">
        <v>51654140013</v>
      </c>
    </row>
    <row r="58" spans="1:3">
      <c r="A58" s="97" t="s">
        <v>211</v>
      </c>
      <c r="B58" s="95">
        <v>2154897375573</v>
      </c>
      <c r="C58" s="98">
        <v>1966461579498</v>
      </c>
    </row>
    <row r="59" spans="1:3">
      <c r="A59" s="97" t="s">
        <v>212</v>
      </c>
      <c r="B59" s="95">
        <v>22326343572</v>
      </c>
      <c r="C59" s="98">
        <v>19246243033</v>
      </c>
    </row>
    <row r="60" spans="1:3">
      <c r="A60" s="97" t="s">
        <v>213</v>
      </c>
      <c r="B60" s="95">
        <v>22792118649</v>
      </c>
      <c r="C60" s="98">
        <v>17286108509</v>
      </c>
    </row>
    <row r="61" spans="1:3">
      <c r="A61" s="97" t="s">
        <v>214</v>
      </c>
      <c r="B61" s="95">
        <v>449122758618</v>
      </c>
      <c r="C61" s="98">
        <v>310716359412</v>
      </c>
    </row>
    <row r="62" spans="1:3">
      <c r="A62" s="97" t="s">
        <v>215</v>
      </c>
      <c r="B62" s="95">
        <v>1530527029319</v>
      </c>
      <c r="C62" s="98">
        <v>1491948339883</v>
      </c>
    </row>
    <row r="63" spans="1:3">
      <c r="A63" s="97" t="s">
        <v>216</v>
      </c>
      <c r="B63" s="95">
        <v>58854975152</v>
      </c>
      <c r="C63" s="98">
        <v>43806106986</v>
      </c>
    </row>
    <row r="64" spans="1:3">
      <c r="A64" s="97" t="s">
        <v>217</v>
      </c>
      <c r="B64" s="95">
        <v>2110480000</v>
      </c>
      <c r="C64" s="98">
        <v>2110480000</v>
      </c>
    </row>
    <row r="65" spans="1:3">
      <c r="A65" s="97" t="s">
        <v>218</v>
      </c>
      <c r="B65" s="95">
        <v>430581782</v>
      </c>
      <c r="C65" s="98">
        <v>1134718320</v>
      </c>
    </row>
    <row r="66" spans="1:3">
      <c r="A66" s="97" t="s">
        <v>219</v>
      </c>
      <c r="B66" s="95">
        <v>63550911367</v>
      </c>
      <c r="C66" s="98">
        <v>74672051151</v>
      </c>
    </row>
    <row r="67" spans="1:3">
      <c r="A67" s="97" t="s">
        <v>220</v>
      </c>
      <c r="B67" s="95">
        <v>5182177114</v>
      </c>
      <c r="C67" s="98">
        <v>5541172204</v>
      </c>
    </row>
    <row r="68" spans="1:3">
      <c r="A68" s="97" t="s">
        <v>221</v>
      </c>
      <c r="B68" s="95">
        <v>3744772286449</v>
      </c>
      <c r="C68" s="98">
        <v>3304339508070</v>
      </c>
    </row>
    <row r="69" spans="1:3">
      <c r="A69" s="97" t="s">
        <v>222</v>
      </c>
      <c r="B69" s="96"/>
      <c r="C69" s="99"/>
    </row>
    <row r="70" spans="1:3">
      <c r="A70" s="97" t="s">
        <v>223</v>
      </c>
      <c r="B70" s="95">
        <v>920776060191</v>
      </c>
      <c r="C70" s="98">
        <v>672315662546</v>
      </c>
    </row>
    <row r="71" spans="1:3">
      <c r="A71" s="97" t="s">
        <v>224</v>
      </c>
      <c r="B71" s="95">
        <v>442968537125</v>
      </c>
      <c r="C71" s="98">
        <v>405997471248</v>
      </c>
    </row>
    <row r="72" spans="1:3">
      <c r="A72" s="97" t="s">
        <v>225</v>
      </c>
      <c r="B72" s="95">
        <v>302285237445</v>
      </c>
      <c r="C72" s="98">
        <v>174425639360</v>
      </c>
    </row>
    <row r="73" spans="1:3">
      <c r="A73" s="97" t="s">
        <v>255</v>
      </c>
      <c r="B73" s="95">
        <v>63403019824</v>
      </c>
      <c r="C73" s="99"/>
    </row>
    <row r="74" spans="1:3">
      <c r="A74" s="97" t="s">
        <v>226</v>
      </c>
      <c r="B74" s="95">
        <v>21586041765</v>
      </c>
      <c r="C74" s="98">
        <v>204323830</v>
      </c>
    </row>
    <row r="75" spans="1:3">
      <c r="A75" s="97" t="s">
        <v>227</v>
      </c>
      <c r="B75" s="95">
        <v>2477039645</v>
      </c>
      <c r="C75" s="98">
        <v>1235018599</v>
      </c>
    </row>
    <row r="76" spans="1:3">
      <c r="A76" s="97" t="s">
        <v>228</v>
      </c>
      <c r="B76" s="95">
        <v>651945253</v>
      </c>
      <c r="C76" s="98">
        <v>614177748</v>
      </c>
    </row>
    <row r="77" spans="1:3">
      <c r="A77" s="97" t="s">
        <v>229</v>
      </c>
      <c r="B77" s="95">
        <v>18668456373</v>
      </c>
      <c r="C77" s="98">
        <v>21939737844</v>
      </c>
    </row>
    <row r="78" spans="1:3">
      <c r="A78" s="97" t="s">
        <v>230</v>
      </c>
      <c r="B78" s="95">
        <v>38446481663</v>
      </c>
      <c r="C78" s="98">
        <v>31653653281</v>
      </c>
    </row>
    <row r="79" spans="1:3">
      <c r="A79" s="97" t="s">
        <v>231</v>
      </c>
      <c r="B79" s="95">
        <v>30289301098</v>
      </c>
      <c r="C79" s="98">
        <v>36245640636</v>
      </c>
    </row>
    <row r="80" spans="1:3">
      <c r="A80" s="97" t="s">
        <v>232</v>
      </c>
      <c r="B80" s="95">
        <v>1107882002073</v>
      </c>
      <c r="C80" s="98">
        <v>1125529969365</v>
      </c>
    </row>
    <row r="81" spans="1:3">
      <c r="A81" s="97" t="s">
        <v>233</v>
      </c>
      <c r="B81" s="95">
        <v>14016309843</v>
      </c>
      <c r="C81" s="98">
        <v>13784891081</v>
      </c>
    </row>
    <row r="82" spans="1:3" s="375" customFormat="1">
      <c r="A82" s="363" t="s">
        <v>234</v>
      </c>
      <c r="B82" s="364">
        <v>633010328789</v>
      </c>
      <c r="C82" s="365">
        <v>746949775950</v>
      </c>
    </row>
    <row r="83" spans="1:3" s="375" customFormat="1">
      <c r="A83" s="363" t="s">
        <v>235</v>
      </c>
      <c r="B83" s="376"/>
      <c r="C83" s="365">
        <v>61175397210</v>
      </c>
    </row>
    <row r="84" spans="1:3" s="375" customFormat="1">
      <c r="A84" s="363" t="s">
        <v>236</v>
      </c>
      <c r="B84" s="364">
        <v>125407785765</v>
      </c>
      <c r="C84" s="365">
        <v>409770233</v>
      </c>
    </row>
    <row r="85" spans="1:3">
      <c r="A85" s="97" t="s">
        <v>237</v>
      </c>
      <c r="B85" s="95">
        <v>2771485733</v>
      </c>
      <c r="C85" s="98">
        <v>1214102303</v>
      </c>
    </row>
    <row r="86" spans="1:3" s="375" customFormat="1">
      <c r="A86" s="363" t="s">
        <v>238</v>
      </c>
      <c r="B86" s="364">
        <v>139438843469</v>
      </c>
      <c r="C86" s="365">
        <v>131076549709</v>
      </c>
    </row>
    <row r="87" spans="1:3" s="375" customFormat="1">
      <c r="A87" s="363" t="s">
        <v>239</v>
      </c>
      <c r="B87" s="364">
        <v>170553169645</v>
      </c>
      <c r="C87" s="365">
        <v>142583050574</v>
      </c>
    </row>
    <row r="88" spans="1:3" s="375" customFormat="1">
      <c r="A88" s="363" t="s">
        <v>240</v>
      </c>
      <c r="B88" s="364">
        <v>11379033250</v>
      </c>
      <c r="C88" s="365">
        <v>13652467247</v>
      </c>
    </row>
    <row r="89" spans="1:3">
      <c r="A89" s="97" t="s">
        <v>241</v>
      </c>
      <c r="B89" s="95">
        <v>10763605579</v>
      </c>
      <c r="C89" s="98">
        <v>14683965058</v>
      </c>
    </row>
    <row r="90" spans="1:3">
      <c r="A90" s="97" t="s">
        <v>256</v>
      </c>
      <c r="B90" s="95">
        <v>541440000</v>
      </c>
      <c r="C90" s="99"/>
    </row>
    <row r="91" spans="1:3">
      <c r="A91" s="97" t="s">
        <v>242</v>
      </c>
      <c r="B91" s="95">
        <v>2028658062264</v>
      </c>
      <c r="C91" s="98">
        <v>1797845631911</v>
      </c>
    </row>
    <row r="92" spans="1:3">
      <c r="A92" s="97" t="s">
        <v>243</v>
      </c>
      <c r="B92" s="96"/>
      <c r="C92" s="99"/>
    </row>
    <row r="93" spans="1:3">
      <c r="A93" s="97" t="s">
        <v>244</v>
      </c>
      <c r="B93" s="95">
        <v>1165716103335</v>
      </c>
      <c r="C93" s="98">
        <v>991677842021</v>
      </c>
    </row>
    <row r="94" spans="1:3">
      <c r="A94" s="97" t="s">
        <v>245</v>
      </c>
      <c r="B94" s="95">
        <v>61115070000</v>
      </c>
      <c r="C94" s="98">
        <v>61115070000</v>
      </c>
    </row>
    <row r="95" spans="1:3">
      <c r="A95" s="97" t="s">
        <v>246</v>
      </c>
      <c r="B95" s="95">
        <v>117766679366</v>
      </c>
      <c r="C95" s="98">
        <v>117766679366</v>
      </c>
    </row>
    <row r="96" spans="1:3">
      <c r="A96" s="97" t="s">
        <v>247</v>
      </c>
      <c r="B96" s="95">
        <v>-15791518695</v>
      </c>
      <c r="C96" s="98">
        <v>-9060116061</v>
      </c>
    </row>
    <row r="97" spans="1:3">
      <c r="A97" s="97" t="s">
        <v>248</v>
      </c>
      <c r="B97" s="95">
        <v>42357315850</v>
      </c>
      <c r="C97" s="98">
        <v>-583013337</v>
      </c>
    </row>
    <row r="98" spans="1:3">
      <c r="A98" s="97" t="s">
        <v>249</v>
      </c>
      <c r="B98" s="95">
        <v>960268556814</v>
      </c>
      <c r="C98" s="98">
        <v>822439222053</v>
      </c>
    </row>
    <row r="99" spans="1:3">
      <c r="A99" s="97" t="s">
        <v>157</v>
      </c>
      <c r="B99" s="95">
        <v>550398120850</v>
      </c>
      <c r="C99" s="98">
        <v>514816034138</v>
      </c>
    </row>
    <row r="100" spans="1:3">
      <c r="A100" s="97" t="s">
        <v>250</v>
      </c>
      <c r="B100" s="95">
        <v>1716114224185</v>
      </c>
      <c r="C100" s="98">
        <v>1506493876159</v>
      </c>
    </row>
    <row r="101" spans="1:3">
      <c r="A101" s="100" t="s">
        <v>251</v>
      </c>
      <c r="B101" s="101">
        <v>3744772286449</v>
      </c>
      <c r="C101" s="122">
        <v>3304339508070</v>
      </c>
    </row>
  </sheetData>
  <mergeCells count="3">
    <mergeCell ref="A5:A6"/>
    <mergeCell ref="B5:C5"/>
    <mergeCell ref="D5:E5"/>
  </mergeCells>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1"/>
  <sheetViews>
    <sheetView topLeftCell="A58" workbookViewId="0">
      <selection activeCell="B87" sqref="B87"/>
    </sheetView>
  </sheetViews>
  <sheetFormatPr defaultRowHeight="16.5"/>
  <cols>
    <col min="1" max="1" width="54.75" bestFit="1" customWidth="1"/>
    <col min="2" max="3" width="17.75" bestFit="1" customWidth="1"/>
    <col min="4" max="4" width="16" bestFit="1" customWidth="1"/>
    <col min="5" max="5" width="17.75" bestFit="1" customWidth="1"/>
  </cols>
  <sheetData>
    <row r="1" spans="1:5">
      <c r="A1" s="102" t="s">
        <v>122</v>
      </c>
      <c r="B1" s="103"/>
      <c r="C1" s="103"/>
      <c r="D1" s="103"/>
      <c r="E1" s="103"/>
    </row>
    <row r="2" spans="1:5">
      <c r="A2" s="104" t="s">
        <v>177</v>
      </c>
      <c r="B2" s="103"/>
      <c r="C2" s="103"/>
      <c r="D2" s="103"/>
      <c r="E2" s="103"/>
    </row>
    <row r="3" spans="1:5">
      <c r="A3" s="104" t="s">
        <v>178</v>
      </c>
      <c r="B3" s="103"/>
      <c r="C3" s="103"/>
      <c r="D3" s="103"/>
      <c r="E3" s="103"/>
    </row>
    <row r="4" spans="1:5">
      <c r="A4" s="105" t="s">
        <v>125</v>
      </c>
      <c r="B4" s="103"/>
      <c r="C4" s="103"/>
      <c r="D4" s="103"/>
      <c r="E4" s="103"/>
    </row>
    <row r="5" spans="1:5" ht="16.5" customHeight="1">
      <c r="A5" s="117"/>
      <c r="B5" s="118" t="s">
        <v>179</v>
      </c>
      <c r="C5" s="119"/>
      <c r="D5" s="118" t="s">
        <v>180</v>
      </c>
      <c r="E5" s="120"/>
    </row>
    <row r="6" spans="1:5">
      <c r="A6" s="121"/>
      <c r="B6" s="106" t="s">
        <v>128</v>
      </c>
      <c r="C6" s="106" t="s">
        <v>129</v>
      </c>
      <c r="D6" s="106" t="s">
        <v>128</v>
      </c>
      <c r="E6" s="107" t="s">
        <v>129</v>
      </c>
    </row>
    <row r="7" spans="1:5">
      <c r="A7" s="108" t="s">
        <v>130</v>
      </c>
      <c r="B7" s="109">
        <v>866985948835</v>
      </c>
      <c r="C7" s="109">
        <v>2660864831721</v>
      </c>
      <c r="D7" s="109">
        <v>725877795889</v>
      </c>
      <c r="E7" s="110">
        <v>2192964560602</v>
      </c>
    </row>
    <row r="8" spans="1:5">
      <c r="A8" s="108" t="s">
        <v>131</v>
      </c>
      <c r="B8" s="109">
        <v>449611604115</v>
      </c>
      <c r="C8" s="109">
        <v>1325774101969</v>
      </c>
      <c r="D8" s="109">
        <v>372017090098</v>
      </c>
      <c r="E8" s="110">
        <v>1092812557901</v>
      </c>
    </row>
    <row r="9" spans="1:5">
      <c r="A9" s="108" t="s">
        <v>132</v>
      </c>
      <c r="B9" s="109">
        <v>417374344720</v>
      </c>
      <c r="C9" s="109">
        <v>1335090729752</v>
      </c>
      <c r="D9" s="109">
        <v>353860705791</v>
      </c>
      <c r="E9" s="110">
        <v>1100152002701</v>
      </c>
    </row>
    <row r="10" spans="1:5">
      <c r="A10" s="108" t="s">
        <v>133</v>
      </c>
      <c r="B10" s="109">
        <v>292494052449</v>
      </c>
      <c r="C10" s="109">
        <v>949488083240</v>
      </c>
      <c r="D10" s="109">
        <v>279948044763</v>
      </c>
      <c r="E10" s="110">
        <v>825652939978</v>
      </c>
    </row>
    <row r="11" spans="1:5">
      <c r="A11" s="108" t="s">
        <v>134</v>
      </c>
      <c r="B11" s="109">
        <v>124880292271</v>
      </c>
      <c r="C11" s="109">
        <v>385602646512</v>
      </c>
      <c r="D11" s="109">
        <v>73912661028</v>
      </c>
      <c r="E11" s="110">
        <v>274499062723</v>
      </c>
    </row>
    <row r="12" spans="1:5">
      <c r="A12" s="108" t="s">
        <v>135</v>
      </c>
      <c r="B12" s="109">
        <v>26799045185</v>
      </c>
      <c r="C12" s="109">
        <v>31023571511</v>
      </c>
      <c r="D12" s="109">
        <v>19503136109</v>
      </c>
      <c r="E12" s="110">
        <v>22518683844</v>
      </c>
    </row>
    <row r="13" spans="1:5">
      <c r="A13" s="108" t="s">
        <v>136</v>
      </c>
      <c r="B13" s="109">
        <v>683273543</v>
      </c>
      <c r="C13" s="109">
        <v>4268854162</v>
      </c>
      <c r="D13" s="109">
        <v>4159181132</v>
      </c>
      <c r="E13" s="110">
        <v>7455397988</v>
      </c>
    </row>
    <row r="14" spans="1:5">
      <c r="A14" s="108" t="s">
        <v>137</v>
      </c>
      <c r="B14" s="109">
        <v>699852129</v>
      </c>
      <c r="C14" s="109">
        <v>1613174874</v>
      </c>
      <c r="D14" s="109">
        <v>845796000</v>
      </c>
      <c r="E14" s="110">
        <v>1799379203</v>
      </c>
    </row>
    <row r="15" spans="1:5">
      <c r="A15" s="108" t="s">
        <v>138</v>
      </c>
      <c r="B15" s="109">
        <v>7620876737</v>
      </c>
      <c r="C15" s="109">
        <v>21613622496</v>
      </c>
      <c r="D15" s="109">
        <v>1062532998</v>
      </c>
      <c r="E15" s="110">
        <v>16987803168</v>
      </c>
    </row>
    <row r="16" spans="1:5">
      <c r="A16" s="108" t="s">
        <v>139</v>
      </c>
      <c r="B16" s="109">
        <v>22920805308</v>
      </c>
      <c r="C16" s="109">
        <v>66965948987</v>
      </c>
      <c r="D16" s="109">
        <v>14960070636</v>
      </c>
      <c r="E16" s="110">
        <v>59596015175</v>
      </c>
    </row>
    <row r="17" spans="1:5">
      <c r="A17" s="108" t="s">
        <v>140</v>
      </c>
      <c r="B17" s="109">
        <v>6271004940</v>
      </c>
      <c r="C17" s="109">
        <v>22476836637</v>
      </c>
      <c r="D17" s="109">
        <v>3614357672</v>
      </c>
      <c r="E17" s="110">
        <v>14566590456</v>
      </c>
    </row>
    <row r="18" spans="1:5">
      <c r="A18" s="108" t="s">
        <v>141</v>
      </c>
      <c r="B18" s="109">
        <v>142666992411</v>
      </c>
      <c r="C18" s="109">
        <v>391095048881</v>
      </c>
      <c r="D18" s="109">
        <v>79819232039</v>
      </c>
      <c r="E18" s="110">
        <v>263320106231</v>
      </c>
    </row>
    <row r="19" spans="1:5">
      <c r="A19" s="108" t="s">
        <v>169</v>
      </c>
      <c r="B19" s="109">
        <v>44216973888</v>
      </c>
      <c r="C19" s="109">
        <v>104463161987</v>
      </c>
      <c r="D19" s="109">
        <v>34517561803</v>
      </c>
      <c r="E19" s="110">
        <v>57143256262</v>
      </c>
    </row>
    <row r="20" spans="1:5">
      <c r="A20" s="108" t="s">
        <v>143</v>
      </c>
      <c r="B20" s="109">
        <v>98450018523</v>
      </c>
      <c r="C20" s="109">
        <v>286631886894</v>
      </c>
      <c r="D20" s="109">
        <v>45301670236</v>
      </c>
      <c r="E20" s="110">
        <v>206176849969</v>
      </c>
    </row>
    <row r="21" spans="1:5">
      <c r="A21" s="108" t="s">
        <v>144</v>
      </c>
      <c r="B21" s="111"/>
      <c r="C21" s="111"/>
      <c r="D21" s="111"/>
      <c r="E21" s="112"/>
    </row>
    <row r="22" spans="1:5">
      <c r="A22" s="108" t="s">
        <v>145</v>
      </c>
      <c r="B22" s="111"/>
      <c r="C22" s="111"/>
      <c r="D22" s="111"/>
      <c r="E22" s="112"/>
    </row>
    <row r="23" spans="1:5">
      <c r="A23" s="108" t="s">
        <v>146</v>
      </c>
      <c r="B23" s="109">
        <v>2069277239</v>
      </c>
      <c r="C23" s="109">
        <v>5053588885</v>
      </c>
      <c r="D23" s="109">
        <v>701372514</v>
      </c>
      <c r="E23" s="110">
        <v>3271782169</v>
      </c>
    </row>
    <row r="24" spans="1:5">
      <c r="A24" s="108" t="s">
        <v>171</v>
      </c>
      <c r="B24" s="111"/>
      <c r="C24" s="111"/>
      <c r="D24" s="111"/>
      <c r="E24" s="110">
        <v>-1231508330</v>
      </c>
    </row>
    <row r="25" spans="1:5">
      <c r="A25" s="108" t="s">
        <v>147</v>
      </c>
      <c r="B25" s="111"/>
      <c r="C25" s="111"/>
      <c r="D25" s="111"/>
      <c r="E25" s="112"/>
    </row>
    <row r="26" spans="1:5">
      <c r="A26" s="108" t="s">
        <v>172</v>
      </c>
      <c r="B26" s="109">
        <v>-2283981445</v>
      </c>
      <c r="C26" s="109">
        <v>-2583816344</v>
      </c>
      <c r="D26" s="109">
        <v>-1273904493</v>
      </c>
      <c r="E26" s="110">
        <v>-1963754085</v>
      </c>
    </row>
    <row r="27" spans="1:5">
      <c r="A27" s="108" t="s">
        <v>149</v>
      </c>
      <c r="B27" s="109">
        <v>69728110627</v>
      </c>
      <c r="C27" s="109">
        <v>117648055386</v>
      </c>
      <c r="D27" s="109">
        <v>-20084863260</v>
      </c>
      <c r="E27" s="110">
        <v>43931238703</v>
      </c>
    </row>
    <row r="28" spans="1:5">
      <c r="A28" s="108" t="s">
        <v>150</v>
      </c>
      <c r="B28" s="109">
        <v>1283945687</v>
      </c>
      <c r="C28" s="109">
        <v>-2701509170</v>
      </c>
      <c r="D28" s="109">
        <v>4356544282</v>
      </c>
      <c r="E28" s="110">
        <v>7635807431</v>
      </c>
    </row>
    <row r="29" spans="1:5">
      <c r="A29" s="108" t="s">
        <v>151</v>
      </c>
      <c r="B29" s="109">
        <v>70797352108</v>
      </c>
      <c r="C29" s="109">
        <v>117416318757</v>
      </c>
      <c r="D29" s="109">
        <v>-16300850957</v>
      </c>
      <c r="E29" s="110">
        <v>51643565888</v>
      </c>
    </row>
    <row r="30" spans="1:5">
      <c r="A30" s="108" t="s">
        <v>152</v>
      </c>
      <c r="B30" s="109">
        <v>169247370631</v>
      </c>
      <c r="C30" s="109">
        <v>404048205651</v>
      </c>
      <c r="D30" s="109">
        <v>29000819279</v>
      </c>
      <c r="E30" s="110">
        <v>257820415857</v>
      </c>
    </row>
    <row r="31" spans="1:5">
      <c r="A31" s="108" t="s">
        <v>153</v>
      </c>
      <c r="B31" s="111"/>
      <c r="C31" s="111"/>
      <c r="D31" s="111"/>
      <c r="E31" s="112"/>
    </row>
    <row r="32" spans="1:5">
      <c r="A32" s="108" t="s">
        <v>154</v>
      </c>
      <c r="B32" s="109">
        <v>80541457942</v>
      </c>
      <c r="C32" s="109">
        <v>219294467602</v>
      </c>
      <c r="D32" s="109">
        <v>40401205429</v>
      </c>
      <c r="E32" s="110">
        <v>144256018248</v>
      </c>
    </row>
    <row r="33" spans="1:5">
      <c r="A33" s="108" t="s">
        <v>155</v>
      </c>
      <c r="B33" s="109">
        <v>17908560581</v>
      </c>
      <c r="C33" s="109">
        <v>67337419292</v>
      </c>
      <c r="D33" s="109">
        <v>4900464807</v>
      </c>
      <c r="E33" s="110">
        <v>61920831721</v>
      </c>
    </row>
    <row r="34" spans="1:5">
      <c r="A34" s="108" t="s">
        <v>156</v>
      </c>
      <c r="B34" s="111"/>
      <c r="C34" s="111"/>
      <c r="D34" s="111"/>
      <c r="E34" s="112"/>
    </row>
    <row r="35" spans="1:5">
      <c r="A35" s="108" t="s">
        <v>154</v>
      </c>
      <c r="B35" s="109">
        <v>131719092062</v>
      </c>
      <c r="C35" s="109">
        <v>314286326035</v>
      </c>
      <c r="D35" s="109">
        <v>26719387229</v>
      </c>
      <c r="E35" s="110">
        <v>189179879155</v>
      </c>
    </row>
    <row r="36" spans="1:5">
      <c r="A36" s="108" t="s">
        <v>157</v>
      </c>
      <c r="B36" s="109">
        <v>37528278569</v>
      </c>
      <c r="C36" s="109">
        <v>89761879616</v>
      </c>
      <c r="D36" s="109">
        <v>2281432050</v>
      </c>
      <c r="E36" s="110">
        <v>68640536702</v>
      </c>
    </row>
    <row r="37" spans="1:5">
      <c r="A37" s="108" t="s">
        <v>158</v>
      </c>
      <c r="B37" s="111"/>
      <c r="C37" s="111"/>
      <c r="D37" s="111"/>
      <c r="E37" s="112"/>
    </row>
    <row r="38" spans="1:5">
      <c r="A38" s="108" t="s">
        <v>159</v>
      </c>
      <c r="B38" s="109">
        <v>1318</v>
      </c>
      <c r="C38" s="109">
        <v>3588</v>
      </c>
      <c r="D38" s="111">
        <v>661</v>
      </c>
      <c r="E38" s="110">
        <v>2360</v>
      </c>
    </row>
    <row r="39" spans="1:5">
      <c r="A39" s="113" t="s">
        <v>160</v>
      </c>
      <c r="B39" s="114">
        <v>1318</v>
      </c>
      <c r="C39" s="114">
        <v>3588</v>
      </c>
      <c r="D39" s="115">
        <v>661</v>
      </c>
      <c r="E39" s="123">
        <v>2360</v>
      </c>
    </row>
    <row r="42" spans="1:5">
      <c r="A42" s="92" t="s">
        <v>195</v>
      </c>
    </row>
    <row r="43" spans="1:5">
      <c r="A43" s="93" t="s">
        <v>257</v>
      </c>
    </row>
    <row r="44" spans="1:5">
      <c r="A44" s="93" t="s">
        <v>258</v>
      </c>
    </row>
    <row r="45" spans="1:5">
      <c r="A45" s="94" t="s">
        <v>125</v>
      </c>
    </row>
    <row r="46" spans="1:5">
      <c r="A46" s="124"/>
      <c r="B46" s="125" t="s">
        <v>259</v>
      </c>
      <c r="C46" s="126" t="s">
        <v>199</v>
      </c>
    </row>
    <row r="47" spans="1:5">
      <c r="A47" s="97" t="s">
        <v>200</v>
      </c>
      <c r="B47" s="96"/>
      <c r="C47" s="99"/>
    </row>
    <row r="48" spans="1:5">
      <c r="A48" s="97" t="s">
        <v>201</v>
      </c>
      <c r="B48" s="95">
        <v>1726039730544</v>
      </c>
      <c r="C48" s="98">
        <v>1337877928572</v>
      </c>
    </row>
    <row r="49" spans="1:3">
      <c r="A49" s="97" t="s">
        <v>202</v>
      </c>
      <c r="B49" s="95">
        <v>310058958009</v>
      </c>
      <c r="C49" s="98">
        <v>149001324731</v>
      </c>
    </row>
    <row r="50" spans="1:3">
      <c r="A50" s="97" t="s">
        <v>203</v>
      </c>
      <c r="B50" s="95">
        <v>597818650307</v>
      </c>
      <c r="C50" s="98">
        <v>473863914281</v>
      </c>
    </row>
    <row r="51" spans="1:3">
      <c r="A51" s="97" t="s">
        <v>204</v>
      </c>
      <c r="B51" s="95">
        <v>710628061417</v>
      </c>
      <c r="C51" s="98">
        <v>632236889813</v>
      </c>
    </row>
    <row r="52" spans="1:3">
      <c r="A52" s="97" t="s">
        <v>205</v>
      </c>
      <c r="B52" s="95">
        <v>16088807474</v>
      </c>
      <c r="C52" s="98">
        <v>4244731103</v>
      </c>
    </row>
    <row r="53" spans="1:3">
      <c r="A53" s="97" t="s">
        <v>206</v>
      </c>
      <c r="B53" s="95">
        <v>7112032364</v>
      </c>
      <c r="C53" s="98">
        <v>9579026135</v>
      </c>
    </row>
    <row r="54" spans="1:3">
      <c r="A54" s="97" t="s">
        <v>207</v>
      </c>
      <c r="B54" s="95">
        <v>15466756721</v>
      </c>
      <c r="C54" s="98">
        <v>10450417807</v>
      </c>
    </row>
    <row r="55" spans="1:3">
      <c r="A55" s="97" t="s">
        <v>208</v>
      </c>
      <c r="B55" s="95">
        <v>5934319890</v>
      </c>
      <c r="C55" s="98">
        <v>6838578007</v>
      </c>
    </row>
    <row r="56" spans="1:3">
      <c r="A56" s="97" t="s">
        <v>209</v>
      </c>
      <c r="B56" s="95">
        <v>2784852829</v>
      </c>
      <c r="C56" s="98">
        <v>8906682</v>
      </c>
    </row>
    <row r="57" spans="1:3">
      <c r="A57" s="97" t="s">
        <v>210</v>
      </c>
      <c r="B57" s="95">
        <v>60147291533</v>
      </c>
      <c r="C57" s="98">
        <v>51654140013</v>
      </c>
    </row>
    <row r="58" spans="1:3">
      <c r="A58" s="97" t="s">
        <v>211</v>
      </c>
      <c r="B58" s="95">
        <v>2223240896002</v>
      </c>
      <c r="C58" s="98">
        <v>1966461579498</v>
      </c>
    </row>
    <row r="59" spans="1:3">
      <c r="A59" s="97" t="s">
        <v>212</v>
      </c>
      <c r="B59" s="95">
        <v>21566366344</v>
      </c>
      <c r="C59" s="98">
        <v>19246243033</v>
      </c>
    </row>
    <row r="60" spans="1:3">
      <c r="A60" s="97" t="s">
        <v>213</v>
      </c>
      <c r="B60" s="95">
        <v>22478901946</v>
      </c>
      <c r="C60" s="98">
        <v>17286108509</v>
      </c>
    </row>
    <row r="61" spans="1:3">
      <c r="A61" s="97" t="s">
        <v>214</v>
      </c>
      <c r="B61" s="95">
        <v>448027213615</v>
      </c>
      <c r="C61" s="98">
        <v>310716359412</v>
      </c>
    </row>
    <row r="62" spans="1:3">
      <c r="A62" s="97" t="s">
        <v>215</v>
      </c>
      <c r="B62" s="95">
        <v>1596845479037</v>
      </c>
      <c r="C62" s="98">
        <v>1491948339883</v>
      </c>
    </row>
    <row r="63" spans="1:3">
      <c r="A63" s="97" t="s">
        <v>216</v>
      </c>
      <c r="B63" s="95">
        <v>55099582619</v>
      </c>
      <c r="C63" s="98">
        <v>43806106986</v>
      </c>
    </row>
    <row r="64" spans="1:3">
      <c r="A64" s="97" t="s">
        <v>217</v>
      </c>
      <c r="B64" s="95">
        <v>2110480000</v>
      </c>
      <c r="C64" s="98">
        <v>2110480000</v>
      </c>
    </row>
    <row r="65" spans="1:3">
      <c r="A65" s="97" t="s">
        <v>218</v>
      </c>
      <c r="B65" s="95">
        <v>475336391</v>
      </c>
      <c r="C65" s="98">
        <v>1134718320</v>
      </c>
    </row>
    <row r="66" spans="1:3">
      <c r="A66" s="97" t="s">
        <v>219</v>
      </c>
      <c r="B66" s="95">
        <v>71460772759</v>
      </c>
      <c r="C66" s="98">
        <v>74672051151</v>
      </c>
    </row>
    <row r="67" spans="1:3">
      <c r="A67" s="97" t="s">
        <v>220</v>
      </c>
      <c r="B67" s="95">
        <v>5176763291</v>
      </c>
      <c r="C67" s="98">
        <v>5541172204</v>
      </c>
    </row>
    <row r="68" spans="1:3">
      <c r="A68" s="97" t="s">
        <v>221</v>
      </c>
      <c r="B68" s="95">
        <v>3949280626546</v>
      </c>
      <c r="C68" s="98">
        <v>3304339508070</v>
      </c>
    </row>
    <row r="69" spans="1:3">
      <c r="A69" s="97" t="s">
        <v>222</v>
      </c>
      <c r="B69" s="96"/>
      <c r="C69" s="99"/>
    </row>
    <row r="70" spans="1:3">
      <c r="A70" s="97" t="s">
        <v>223</v>
      </c>
      <c r="B70" s="95">
        <v>987414922849</v>
      </c>
      <c r="C70" s="98">
        <v>672315662546</v>
      </c>
    </row>
    <row r="71" spans="1:3">
      <c r="A71" s="97" t="s">
        <v>224</v>
      </c>
      <c r="B71" s="95">
        <v>441323125136</v>
      </c>
      <c r="C71" s="98">
        <v>405997471248</v>
      </c>
    </row>
    <row r="72" spans="1:3">
      <c r="A72" s="97" t="s">
        <v>225</v>
      </c>
      <c r="B72" s="95">
        <v>358075392361</v>
      </c>
      <c r="C72" s="98">
        <v>174425639360</v>
      </c>
    </row>
    <row r="73" spans="1:3">
      <c r="A73" s="97" t="s">
        <v>255</v>
      </c>
      <c r="B73" s="95">
        <v>65899314507</v>
      </c>
      <c r="C73" s="99"/>
    </row>
    <row r="74" spans="1:3">
      <c r="A74" s="97" t="s">
        <v>226</v>
      </c>
      <c r="B74" s="95">
        <v>23147677325</v>
      </c>
      <c r="C74" s="98">
        <v>204323830</v>
      </c>
    </row>
    <row r="75" spans="1:3">
      <c r="A75" s="97" t="s">
        <v>227</v>
      </c>
      <c r="B75" s="95">
        <v>2472520466</v>
      </c>
      <c r="C75" s="98">
        <v>1235018599</v>
      </c>
    </row>
    <row r="76" spans="1:3">
      <c r="A76" s="97" t="s">
        <v>228</v>
      </c>
      <c r="B76" s="95">
        <v>819633457</v>
      </c>
      <c r="C76" s="98">
        <v>614177748</v>
      </c>
    </row>
    <row r="77" spans="1:3">
      <c r="A77" s="97" t="s">
        <v>229</v>
      </c>
      <c r="B77" s="95">
        <v>19566647154</v>
      </c>
      <c r="C77" s="98">
        <v>21939737844</v>
      </c>
    </row>
    <row r="78" spans="1:3">
      <c r="A78" s="97" t="s">
        <v>230</v>
      </c>
      <c r="B78" s="95">
        <v>37067293911</v>
      </c>
      <c r="C78" s="98">
        <v>31653653281</v>
      </c>
    </row>
    <row r="79" spans="1:3">
      <c r="A79" s="97" t="s">
        <v>231</v>
      </c>
      <c r="B79" s="95">
        <v>39043318532</v>
      </c>
      <c r="C79" s="98">
        <v>36245640636</v>
      </c>
    </row>
    <row r="80" spans="1:3">
      <c r="A80" s="97" t="s">
        <v>232</v>
      </c>
      <c r="B80" s="95">
        <v>1088895234437</v>
      </c>
      <c r="C80" s="98">
        <v>1125529969365</v>
      </c>
    </row>
    <row r="81" spans="1:3">
      <c r="A81" s="97" t="s">
        <v>233</v>
      </c>
      <c r="B81" s="95">
        <v>14086696984</v>
      </c>
      <c r="C81" s="98">
        <v>13784891081</v>
      </c>
    </row>
    <row r="82" spans="1:3">
      <c r="A82" s="97" t="s">
        <v>234</v>
      </c>
      <c r="B82" s="95">
        <v>614374667676</v>
      </c>
      <c r="C82" s="98">
        <v>746949775950</v>
      </c>
    </row>
    <row r="83" spans="1:3">
      <c r="A83" s="97" t="s">
        <v>235</v>
      </c>
      <c r="B83" s="96"/>
      <c r="C83" s="98">
        <v>61175397210</v>
      </c>
    </row>
    <row r="84" spans="1:3">
      <c r="A84" s="97" t="s">
        <v>236</v>
      </c>
      <c r="B84" s="95">
        <v>128284636307</v>
      </c>
      <c r="C84" s="98">
        <v>409770233</v>
      </c>
    </row>
    <row r="85" spans="1:3">
      <c r="A85" s="97" t="s">
        <v>237</v>
      </c>
      <c r="B85" s="95">
        <v>2746497352</v>
      </c>
      <c r="C85" s="98">
        <v>1214102303</v>
      </c>
    </row>
    <row r="86" spans="1:3">
      <c r="A86" s="97" t="s">
        <v>238</v>
      </c>
      <c r="B86" s="95">
        <v>119510311710</v>
      </c>
      <c r="C86" s="98">
        <v>131076549709</v>
      </c>
    </row>
    <row r="87" spans="1:3">
      <c r="A87" s="97" t="s">
        <v>239</v>
      </c>
      <c r="B87" s="95">
        <v>187292301992</v>
      </c>
      <c r="C87" s="98">
        <v>142583050574</v>
      </c>
    </row>
    <row r="88" spans="1:3">
      <c r="A88" s="97" t="s">
        <v>240</v>
      </c>
      <c r="B88" s="95">
        <v>12165288801</v>
      </c>
      <c r="C88" s="98">
        <v>13652467247</v>
      </c>
    </row>
    <row r="89" spans="1:3">
      <c r="A89" s="97" t="s">
        <v>241</v>
      </c>
      <c r="B89" s="95">
        <v>9893393615</v>
      </c>
      <c r="C89" s="98">
        <v>14683965058</v>
      </c>
    </row>
    <row r="90" spans="1:3">
      <c r="A90" s="97" t="s">
        <v>256</v>
      </c>
      <c r="B90" s="95">
        <v>541440000</v>
      </c>
      <c r="C90" s="99"/>
    </row>
    <row r="91" spans="1:3">
      <c r="A91" s="97" t="s">
        <v>242</v>
      </c>
      <c r="B91" s="95">
        <v>2076310157286</v>
      </c>
      <c r="C91" s="98">
        <v>1797845631911</v>
      </c>
    </row>
    <row r="92" spans="1:3">
      <c r="A92" s="97" t="s">
        <v>243</v>
      </c>
      <c r="B92" s="96"/>
      <c r="C92" s="99"/>
    </row>
    <row r="93" spans="1:3">
      <c r="A93" s="97" t="s">
        <v>244</v>
      </c>
      <c r="B93" s="95">
        <v>1290622959597</v>
      </c>
      <c r="C93" s="98">
        <v>991677842021</v>
      </c>
    </row>
    <row r="94" spans="1:3">
      <c r="A94" s="97" t="s">
        <v>245</v>
      </c>
      <c r="B94" s="95">
        <v>61115070000</v>
      </c>
      <c r="C94" s="98">
        <v>61115070000</v>
      </c>
    </row>
    <row r="95" spans="1:3">
      <c r="A95" s="97" t="s">
        <v>246</v>
      </c>
      <c r="B95" s="95">
        <v>117766679366</v>
      </c>
      <c r="C95" s="98">
        <v>117766679366</v>
      </c>
    </row>
    <row r="96" spans="1:3">
      <c r="A96" s="97" t="s">
        <v>247</v>
      </c>
      <c r="B96" s="95">
        <v>-22603754494</v>
      </c>
      <c r="C96" s="98">
        <v>-9060116061</v>
      </c>
    </row>
    <row r="97" spans="1:3">
      <c r="A97" s="97" t="s">
        <v>248</v>
      </c>
      <c r="B97" s="95">
        <v>92477297205</v>
      </c>
      <c r="C97" s="98">
        <v>-583013337</v>
      </c>
    </row>
    <row r="98" spans="1:3">
      <c r="A98" s="97" t="s">
        <v>249</v>
      </c>
      <c r="B98" s="95">
        <v>1041867667520</v>
      </c>
      <c r="C98" s="98">
        <v>822439222053</v>
      </c>
    </row>
    <row r="99" spans="1:3">
      <c r="A99" s="97" t="s">
        <v>157</v>
      </c>
      <c r="B99" s="95">
        <v>582347509663</v>
      </c>
      <c r="C99" s="98">
        <v>514816034138</v>
      </c>
    </row>
    <row r="100" spans="1:3">
      <c r="A100" s="97" t="s">
        <v>250</v>
      </c>
      <c r="B100" s="95">
        <v>1872970469260</v>
      </c>
      <c r="C100" s="98">
        <v>1506493876159</v>
      </c>
    </row>
    <row r="101" spans="1:3">
      <c r="A101" s="100" t="s">
        <v>251</v>
      </c>
      <c r="B101" s="101">
        <v>3949280626546</v>
      </c>
      <c r="C101" s="122">
        <v>3304339508070</v>
      </c>
    </row>
  </sheetData>
  <phoneticPr fontId="3"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4"/>
  <sheetViews>
    <sheetView topLeftCell="A52" zoomScale="85" zoomScaleNormal="85" workbookViewId="0">
      <selection activeCell="B90" sqref="B90"/>
    </sheetView>
  </sheetViews>
  <sheetFormatPr defaultRowHeight="16.5"/>
  <cols>
    <col min="1" max="1" width="54.75" bestFit="1" customWidth="1"/>
    <col min="2" max="4" width="17.75" bestFit="1" customWidth="1"/>
  </cols>
  <sheetData>
    <row r="1" spans="1:4">
      <c r="A1" s="102" t="s">
        <v>122</v>
      </c>
      <c r="B1" s="103"/>
      <c r="C1" s="103"/>
      <c r="D1" s="103"/>
    </row>
    <row r="2" spans="1:4">
      <c r="A2" s="104" t="s">
        <v>181</v>
      </c>
      <c r="B2" s="103"/>
      <c r="C2" s="103"/>
      <c r="D2" s="103"/>
    </row>
    <row r="3" spans="1:4">
      <c r="A3" s="104" t="s">
        <v>182</v>
      </c>
      <c r="B3" s="103"/>
      <c r="C3" s="103"/>
      <c r="D3" s="103"/>
    </row>
    <row r="4" spans="1:4">
      <c r="A4" s="104" t="s">
        <v>183</v>
      </c>
      <c r="B4" s="103"/>
      <c r="C4" s="103"/>
      <c r="D4" s="103"/>
    </row>
    <row r="5" spans="1:4">
      <c r="A5" s="105" t="s">
        <v>125</v>
      </c>
      <c r="B5" s="103"/>
      <c r="C5" s="103"/>
      <c r="D5" s="103"/>
    </row>
    <row r="6" spans="1:4">
      <c r="A6" s="127"/>
      <c r="B6" s="128" t="s">
        <v>184</v>
      </c>
      <c r="C6" s="128" t="s">
        <v>185</v>
      </c>
      <c r="D6" s="129" t="s">
        <v>186</v>
      </c>
    </row>
    <row r="7" spans="1:4">
      <c r="A7" s="108" t="s">
        <v>130</v>
      </c>
      <c r="B7" s="109">
        <v>3450421529936</v>
      </c>
      <c r="C7" s="109">
        <v>2954642540440</v>
      </c>
      <c r="D7" s="110">
        <v>2530323756958</v>
      </c>
    </row>
    <row r="8" spans="1:4">
      <c r="A8" s="108" t="s">
        <v>131</v>
      </c>
      <c r="B8" s="109">
        <v>1720714487680</v>
      </c>
      <c r="C8" s="109">
        <v>1487105988703</v>
      </c>
      <c r="D8" s="110">
        <v>1289793351153</v>
      </c>
    </row>
    <row r="9" spans="1:4">
      <c r="A9" s="108" t="s">
        <v>132</v>
      </c>
      <c r="B9" s="109">
        <v>1729707042256</v>
      </c>
      <c r="C9" s="109">
        <v>1467536551737</v>
      </c>
      <c r="D9" s="110">
        <v>1240530405805</v>
      </c>
    </row>
    <row r="10" spans="1:4">
      <c r="A10" s="108" t="s">
        <v>133</v>
      </c>
      <c r="B10" s="109">
        <v>1259030549610</v>
      </c>
      <c r="C10" s="109">
        <v>1110434382244</v>
      </c>
      <c r="D10" s="110">
        <v>1023064433851</v>
      </c>
    </row>
    <row r="11" spans="1:4">
      <c r="A11" s="108" t="s">
        <v>134</v>
      </c>
      <c r="B11" s="109">
        <v>470676492646</v>
      </c>
      <c r="C11" s="109">
        <v>357102169493</v>
      </c>
      <c r="D11" s="110">
        <v>217465971954</v>
      </c>
    </row>
    <row r="12" spans="1:4">
      <c r="A12" s="108" t="s">
        <v>135</v>
      </c>
      <c r="B12" s="109">
        <v>33715807124</v>
      </c>
      <c r="C12" s="109">
        <v>34044072509</v>
      </c>
      <c r="D12" s="110">
        <v>2311804654</v>
      </c>
    </row>
    <row r="13" spans="1:4">
      <c r="A13" s="108" t="s">
        <v>136</v>
      </c>
      <c r="B13" s="109">
        <v>10799613846</v>
      </c>
      <c r="C13" s="109">
        <v>18052812516</v>
      </c>
      <c r="D13" s="110">
        <v>6798012240</v>
      </c>
    </row>
    <row r="14" spans="1:4">
      <c r="A14" s="108" t="s">
        <v>138</v>
      </c>
      <c r="B14" s="109">
        <v>21860549804</v>
      </c>
      <c r="C14" s="109">
        <v>19693165853</v>
      </c>
      <c r="D14" s="110">
        <v>43418388591</v>
      </c>
    </row>
    <row r="15" spans="1:4">
      <c r="A15" s="108" t="s">
        <v>137</v>
      </c>
      <c r="B15" s="109">
        <v>2451511226</v>
      </c>
      <c r="C15" s="109">
        <v>1991239173</v>
      </c>
      <c r="D15" s="110">
        <v>1675855617</v>
      </c>
    </row>
    <row r="16" spans="1:4">
      <c r="A16" s="108" t="s">
        <v>139</v>
      </c>
      <c r="B16" s="109">
        <v>81271283587</v>
      </c>
      <c r="C16" s="109">
        <v>77422814362</v>
      </c>
      <c r="D16" s="110">
        <v>88803803572</v>
      </c>
    </row>
    <row r="17" spans="1:4">
      <c r="A17" s="108" t="s">
        <v>140</v>
      </c>
      <c r="B17" s="109">
        <v>34621568628</v>
      </c>
      <c r="C17" s="109">
        <v>19778378833</v>
      </c>
      <c r="D17" s="110">
        <v>12497548372</v>
      </c>
    </row>
    <row r="18" spans="1:4">
      <c r="A18" s="108" t="s">
        <v>141</v>
      </c>
      <c r="B18" s="109">
        <v>471255031995</v>
      </c>
      <c r="C18" s="109">
        <v>337133398983</v>
      </c>
      <c r="D18" s="110">
        <v>181767753376</v>
      </c>
    </row>
    <row r="19" spans="1:4">
      <c r="A19" s="108" t="s">
        <v>169</v>
      </c>
      <c r="B19" s="109">
        <v>133111233147</v>
      </c>
      <c r="C19" s="109">
        <v>127083431941</v>
      </c>
      <c r="D19" s="110">
        <v>73658194485</v>
      </c>
    </row>
    <row r="20" spans="1:4">
      <c r="A20" s="108" t="s">
        <v>193</v>
      </c>
      <c r="B20" s="109">
        <v>338143798848</v>
      </c>
      <c r="C20" s="109">
        <v>210049967042</v>
      </c>
      <c r="D20" s="110">
        <v>108109558891</v>
      </c>
    </row>
    <row r="21" spans="1:4">
      <c r="A21" s="108" t="s">
        <v>144</v>
      </c>
      <c r="B21" s="111"/>
      <c r="C21" s="111"/>
      <c r="D21" s="112"/>
    </row>
    <row r="22" spans="1:4">
      <c r="A22" s="108" t="s">
        <v>145</v>
      </c>
      <c r="B22" s="111"/>
      <c r="C22" s="111"/>
      <c r="D22" s="112"/>
    </row>
    <row r="23" spans="1:4">
      <c r="A23" s="108" t="s">
        <v>146</v>
      </c>
      <c r="B23" s="109">
        <v>-16631658037</v>
      </c>
      <c r="C23" s="109">
        <v>5146982045</v>
      </c>
      <c r="D23" s="110">
        <v>-46331147495</v>
      </c>
    </row>
    <row r="24" spans="1:4">
      <c r="A24" s="108" t="s">
        <v>171</v>
      </c>
      <c r="B24" s="109">
        <v>1310172880</v>
      </c>
      <c r="C24" s="109">
        <v>-1010922206</v>
      </c>
      <c r="D24" s="112"/>
    </row>
    <row r="25" spans="1:4">
      <c r="A25" s="108" t="s">
        <v>147</v>
      </c>
      <c r="B25" s="111"/>
      <c r="C25" s="111"/>
      <c r="D25" s="112"/>
    </row>
    <row r="26" spans="1:4">
      <c r="A26" s="108" t="s">
        <v>172</v>
      </c>
      <c r="B26" s="109">
        <v>-1350388721</v>
      </c>
      <c r="C26" s="109">
        <v>-2024742620</v>
      </c>
      <c r="D26" s="110">
        <v>1376708796</v>
      </c>
    </row>
    <row r="27" spans="1:4">
      <c r="A27" s="108" t="s">
        <v>149</v>
      </c>
      <c r="B27" s="109">
        <v>39792517579</v>
      </c>
      <c r="C27" s="109">
        <v>60639963294</v>
      </c>
      <c r="D27" s="110">
        <v>-123965474269</v>
      </c>
    </row>
    <row r="28" spans="1:4">
      <c r="A28" s="108" t="s">
        <v>187</v>
      </c>
      <c r="B28" s="111"/>
      <c r="C28" s="111"/>
      <c r="D28" s="110">
        <v>423763369</v>
      </c>
    </row>
    <row r="29" spans="1:4">
      <c r="A29" s="108" t="s">
        <v>150</v>
      </c>
      <c r="B29" s="109">
        <v>-5391625863</v>
      </c>
      <c r="C29" s="109">
        <v>7342769675</v>
      </c>
      <c r="D29" s="110">
        <v>-14643322423</v>
      </c>
    </row>
    <row r="30" spans="1:4">
      <c r="A30" s="108" t="s">
        <v>188</v>
      </c>
      <c r="B30" s="109">
        <v>17729017838</v>
      </c>
      <c r="C30" s="109">
        <v>70094050188</v>
      </c>
      <c r="D30" s="110">
        <v>-183139472022</v>
      </c>
    </row>
    <row r="31" spans="1:4">
      <c r="A31" s="108" t="s">
        <v>194</v>
      </c>
      <c r="B31" s="109">
        <v>355872816686</v>
      </c>
      <c r="C31" s="109">
        <v>280144017230</v>
      </c>
      <c r="D31" s="110">
        <v>-75029913131</v>
      </c>
    </row>
    <row r="32" spans="1:4">
      <c r="A32" s="108" t="s">
        <v>189</v>
      </c>
      <c r="B32" s="111"/>
      <c r="C32" s="111"/>
      <c r="D32" s="112"/>
    </row>
    <row r="33" spans="1:4">
      <c r="A33" s="108" t="s">
        <v>154</v>
      </c>
      <c r="B33" s="109">
        <v>266778723988</v>
      </c>
      <c r="C33" s="109">
        <v>143546058058</v>
      </c>
      <c r="D33" s="110">
        <v>62387687494</v>
      </c>
    </row>
    <row r="34" spans="1:4">
      <c r="A34" s="108" t="s">
        <v>155</v>
      </c>
      <c r="B34" s="109">
        <v>71365074860</v>
      </c>
      <c r="C34" s="109">
        <v>66503908984</v>
      </c>
      <c r="D34" s="110">
        <v>45721871397</v>
      </c>
    </row>
    <row r="35" spans="1:4">
      <c r="A35" s="108" t="s">
        <v>190</v>
      </c>
      <c r="B35" s="111"/>
      <c r="C35" s="111"/>
      <c r="D35" s="112"/>
    </row>
    <row r="36" spans="1:4">
      <c r="A36" s="108" t="s">
        <v>154</v>
      </c>
      <c r="B36" s="109">
        <v>287118314398</v>
      </c>
      <c r="C36" s="109">
        <v>192443538630</v>
      </c>
      <c r="D36" s="110">
        <v>-68086024099</v>
      </c>
    </row>
    <row r="37" spans="1:4">
      <c r="A37" s="108" t="s">
        <v>157</v>
      </c>
      <c r="B37" s="109">
        <v>68754502288</v>
      </c>
      <c r="C37" s="109">
        <v>87700478600</v>
      </c>
      <c r="D37" s="110">
        <v>-6943889032</v>
      </c>
    </row>
    <row r="38" spans="1:4">
      <c r="A38" s="108" t="s">
        <v>158</v>
      </c>
      <c r="B38" s="111"/>
      <c r="C38" s="111"/>
      <c r="D38" s="112"/>
    </row>
    <row r="39" spans="1:4">
      <c r="A39" s="108" t="s">
        <v>159</v>
      </c>
      <c r="B39" s="109">
        <v>4382</v>
      </c>
      <c r="C39" s="109">
        <v>2349</v>
      </c>
      <c r="D39" s="110">
        <v>1030</v>
      </c>
    </row>
    <row r="40" spans="1:4">
      <c r="A40" s="113" t="s">
        <v>160</v>
      </c>
      <c r="B40" s="114">
        <v>4382</v>
      </c>
      <c r="C40" s="114">
        <v>2349</v>
      </c>
      <c r="D40" s="123">
        <v>1030</v>
      </c>
    </row>
    <row r="43" spans="1:4">
      <c r="A43" s="92" t="s">
        <v>195</v>
      </c>
    </row>
    <row r="44" spans="1:4">
      <c r="A44" s="93" t="s">
        <v>260</v>
      </c>
    </row>
    <row r="45" spans="1:4">
      <c r="A45" s="93" t="s">
        <v>261</v>
      </c>
    </row>
    <row r="46" spans="1:4">
      <c r="A46" s="93" t="s">
        <v>262</v>
      </c>
    </row>
    <row r="47" spans="1:4">
      <c r="A47" s="94" t="s">
        <v>125</v>
      </c>
    </row>
    <row r="48" spans="1:4">
      <c r="A48" s="124"/>
      <c r="B48" s="125" t="s">
        <v>184</v>
      </c>
      <c r="C48" s="125" t="s">
        <v>185</v>
      </c>
      <c r="D48" s="126" t="s">
        <v>186</v>
      </c>
    </row>
    <row r="49" spans="1:4">
      <c r="A49" s="97" t="s">
        <v>200</v>
      </c>
      <c r="B49" s="96"/>
      <c r="C49" s="96"/>
      <c r="D49" s="99"/>
    </row>
    <row r="50" spans="1:4">
      <c r="A50" s="97" t="s">
        <v>201</v>
      </c>
      <c r="B50" s="95">
        <v>1586809823252</v>
      </c>
      <c r="C50" s="95">
        <v>1337877928572</v>
      </c>
      <c r="D50" s="98">
        <v>1154080807587</v>
      </c>
    </row>
    <row r="51" spans="1:4">
      <c r="A51" s="97" t="s">
        <v>202</v>
      </c>
      <c r="B51" s="95">
        <v>232032424388</v>
      </c>
      <c r="C51" s="95">
        <v>149001324731</v>
      </c>
      <c r="D51" s="98">
        <v>107696147903</v>
      </c>
    </row>
    <row r="52" spans="1:4">
      <c r="A52" s="97" t="s">
        <v>203</v>
      </c>
      <c r="B52" s="95">
        <v>521046723030</v>
      </c>
      <c r="C52" s="95">
        <v>473863914281</v>
      </c>
      <c r="D52" s="98">
        <v>387342267614</v>
      </c>
    </row>
    <row r="53" spans="1:4">
      <c r="A53" s="97" t="s">
        <v>204</v>
      </c>
      <c r="B53" s="95">
        <v>735481062571</v>
      </c>
      <c r="C53" s="95">
        <v>632236889813</v>
      </c>
      <c r="D53" s="98">
        <v>578366696630</v>
      </c>
    </row>
    <row r="54" spans="1:4">
      <c r="A54" s="97" t="s">
        <v>205</v>
      </c>
      <c r="B54" s="95">
        <v>7133991707</v>
      </c>
      <c r="C54" s="95">
        <v>4244731103</v>
      </c>
      <c r="D54" s="98">
        <v>24586590055</v>
      </c>
    </row>
    <row r="55" spans="1:4">
      <c r="A55" s="97" t="s">
        <v>206</v>
      </c>
      <c r="B55" s="95">
        <v>7027759165</v>
      </c>
      <c r="C55" s="95">
        <v>9579026135</v>
      </c>
      <c r="D55" s="99"/>
    </row>
    <row r="56" spans="1:4">
      <c r="A56" s="97" t="s">
        <v>207</v>
      </c>
      <c r="B56" s="95">
        <v>13090454980</v>
      </c>
      <c r="C56" s="95">
        <v>10450417807</v>
      </c>
      <c r="D56" s="99"/>
    </row>
    <row r="57" spans="1:4">
      <c r="A57" s="97" t="s">
        <v>208</v>
      </c>
      <c r="B57" s="95">
        <v>5266761574</v>
      </c>
      <c r="C57" s="95">
        <v>6838578007</v>
      </c>
      <c r="D57" s="98">
        <v>5008803571</v>
      </c>
    </row>
    <row r="58" spans="1:4">
      <c r="A58" s="97" t="s">
        <v>209</v>
      </c>
      <c r="B58" s="95">
        <v>692483335</v>
      </c>
      <c r="C58" s="95">
        <v>8906682</v>
      </c>
      <c r="D58" s="98">
        <v>2019366217</v>
      </c>
    </row>
    <row r="59" spans="1:4">
      <c r="A59" s="97" t="s">
        <v>210</v>
      </c>
      <c r="B59" s="95">
        <v>65038162502</v>
      </c>
      <c r="C59" s="95">
        <v>51654140013</v>
      </c>
      <c r="D59" s="98">
        <v>49060935597</v>
      </c>
    </row>
    <row r="60" spans="1:4">
      <c r="A60" s="97" t="s">
        <v>211</v>
      </c>
      <c r="B60" s="95">
        <v>2183439305209</v>
      </c>
      <c r="C60" s="95">
        <v>1966461579498</v>
      </c>
      <c r="D60" s="98">
        <v>1924843410552</v>
      </c>
    </row>
    <row r="61" spans="1:4">
      <c r="A61" s="97" t="s">
        <v>212</v>
      </c>
      <c r="B61" s="95">
        <v>21152138991</v>
      </c>
      <c r="C61" s="95">
        <v>19246243033</v>
      </c>
      <c r="D61" s="98">
        <v>18309873622</v>
      </c>
    </row>
    <row r="62" spans="1:4">
      <c r="A62" s="97" t="s">
        <v>213</v>
      </c>
      <c r="B62" s="95">
        <v>23581763662</v>
      </c>
      <c r="C62" s="95">
        <v>17286108509</v>
      </c>
      <c r="D62" s="98">
        <v>16800208225</v>
      </c>
    </row>
    <row r="63" spans="1:4">
      <c r="A63" s="97" t="s">
        <v>214</v>
      </c>
      <c r="B63" s="95">
        <v>439052048066</v>
      </c>
      <c r="C63" s="95">
        <v>310716359412</v>
      </c>
      <c r="D63" s="98">
        <v>323527080610</v>
      </c>
    </row>
    <row r="64" spans="1:4">
      <c r="A64" s="97" t="s">
        <v>215</v>
      </c>
      <c r="B64" s="95">
        <v>1547923372827</v>
      </c>
      <c r="C64" s="95">
        <v>1491948339883</v>
      </c>
      <c r="D64" s="98">
        <v>1440427166767</v>
      </c>
    </row>
    <row r="65" spans="1:4">
      <c r="A65" s="97" t="s">
        <v>216</v>
      </c>
      <c r="B65" s="95">
        <v>66210958086</v>
      </c>
      <c r="C65" s="95">
        <v>43806106986</v>
      </c>
      <c r="D65" s="98">
        <v>26562351295</v>
      </c>
    </row>
    <row r="66" spans="1:4">
      <c r="A66" s="97" t="s">
        <v>263</v>
      </c>
      <c r="B66" s="96"/>
      <c r="C66" s="96"/>
      <c r="D66" s="98">
        <v>3100000000</v>
      </c>
    </row>
    <row r="67" spans="1:4">
      <c r="A67" s="97" t="s">
        <v>217</v>
      </c>
      <c r="B67" s="95">
        <v>3437900000</v>
      </c>
      <c r="C67" s="95">
        <v>2110480000</v>
      </c>
      <c r="D67" s="99"/>
    </row>
    <row r="68" spans="1:4">
      <c r="A68" s="97" t="s">
        <v>218</v>
      </c>
      <c r="B68" s="95">
        <v>1284246811</v>
      </c>
      <c r="C68" s="95">
        <v>1134718320</v>
      </c>
      <c r="D68" s="98">
        <v>601969304</v>
      </c>
    </row>
    <row r="69" spans="1:4">
      <c r="A69" s="97" t="s">
        <v>219</v>
      </c>
      <c r="B69" s="95">
        <v>74558115739</v>
      </c>
      <c r="C69" s="95">
        <v>74672051151</v>
      </c>
      <c r="D69" s="98">
        <v>89760401069</v>
      </c>
    </row>
    <row r="70" spans="1:4">
      <c r="A70" s="97" t="s">
        <v>220</v>
      </c>
      <c r="B70" s="95">
        <v>6238761027</v>
      </c>
      <c r="C70" s="95">
        <v>5541172204</v>
      </c>
      <c r="D70" s="98">
        <v>5754359660</v>
      </c>
    </row>
    <row r="71" spans="1:4">
      <c r="A71" s="97" t="s">
        <v>221</v>
      </c>
      <c r="B71" s="95">
        <v>3770249128461</v>
      </c>
      <c r="C71" s="95">
        <v>3304339508070</v>
      </c>
      <c r="D71" s="98">
        <v>3078924218139</v>
      </c>
    </row>
    <row r="72" spans="1:4">
      <c r="A72" s="97" t="s">
        <v>222</v>
      </c>
      <c r="B72" s="96"/>
      <c r="C72" s="96"/>
      <c r="D72" s="99"/>
    </row>
    <row r="73" spans="1:4">
      <c r="A73" s="97" t="s">
        <v>223</v>
      </c>
      <c r="B73" s="95">
        <v>867356008900</v>
      </c>
      <c r="C73" s="95">
        <v>672315662546</v>
      </c>
      <c r="D73" s="98">
        <v>694580575337</v>
      </c>
    </row>
    <row r="74" spans="1:4">
      <c r="A74" s="97" t="s">
        <v>224</v>
      </c>
      <c r="B74" s="95">
        <v>413004383530</v>
      </c>
      <c r="C74" s="95">
        <v>405997471248</v>
      </c>
      <c r="D74" s="98">
        <v>330386252203</v>
      </c>
    </row>
    <row r="75" spans="1:4">
      <c r="A75" s="97" t="s">
        <v>225</v>
      </c>
      <c r="B75" s="95">
        <v>236394330219</v>
      </c>
      <c r="C75" s="95">
        <v>174425639360</v>
      </c>
      <c r="D75" s="98">
        <v>212671087919</v>
      </c>
    </row>
    <row r="76" spans="1:4">
      <c r="A76" s="97" t="s">
        <v>255</v>
      </c>
      <c r="B76" s="95">
        <v>63568318209</v>
      </c>
      <c r="C76" s="96"/>
      <c r="D76" s="98">
        <v>69557635152</v>
      </c>
    </row>
    <row r="77" spans="1:4">
      <c r="A77" s="97" t="s">
        <v>226</v>
      </c>
      <c r="B77" s="95">
        <v>28841201387</v>
      </c>
      <c r="C77" s="95">
        <v>204323830</v>
      </c>
      <c r="D77" s="98">
        <v>2888117267</v>
      </c>
    </row>
    <row r="78" spans="1:4">
      <c r="A78" s="97" t="s">
        <v>227</v>
      </c>
      <c r="B78" s="95">
        <v>5120776887</v>
      </c>
      <c r="C78" s="95">
        <v>1235018599</v>
      </c>
      <c r="D78" s="98">
        <v>6899373019</v>
      </c>
    </row>
    <row r="79" spans="1:4">
      <c r="A79" s="97" t="s">
        <v>228</v>
      </c>
      <c r="B79" s="95">
        <v>6574668133</v>
      </c>
      <c r="C79" s="95">
        <v>614177748</v>
      </c>
      <c r="D79" s="99"/>
    </row>
    <row r="80" spans="1:4">
      <c r="A80" s="97" t="s">
        <v>229</v>
      </c>
      <c r="B80" s="95">
        <v>21742332869</v>
      </c>
      <c r="C80" s="95">
        <v>21939737844</v>
      </c>
      <c r="D80" s="98">
        <v>51940453067</v>
      </c>
    </row>
    <row r="81" spans="1:4">
      <c r="A81" s="97" t="s">
        <v>230</v>
      </c>
      <c r="B81" s="95">
        <v>32400303811</v>
      </c>
      <c r="C81" s="95">
        <v>31653653281</v>
      </c>
      <c r="D81" s="99"/>
    </row>
    <row r="82" spans="1:4">
      <c r="A82" s="97" t="s">
        <v>231</v>
      </c>
      <c r="B82" s="95">
        <v>59709693855</v>
      </c>
      <c r="C82" s="95">
        <v>36245640636</v>
      </c>
      <c r="D82" s="98">
        <v>20237656710</v>
      </c>
    </row>
    <row r="83" spans="1:4">
      <c r="A83" s="97" t="s">
        <v>232</v>
      </c>
      <c r="B83" s="95">
        <v>1101949501736</v>
      </c>
      <c r="C83" s="95">
        <v>1125529969365</v>
      </c>
      <c r="D83" s="98">
        <v>1150013685504</v>
      </c>
    </row>
    <row r="84" spans="1:4">
      <c r="A84" s="97" t="s">
        <v>233</v>
      </c>
      <c r="B84" s="95">
        <v>13655988563</v>
      </c>
      <c r="C84" s="95">
        <v>13784891081</v>
      </c>
      <c r="D84" s="98">
        <v>19274386169</v>
      </c>
    </row>
    <row r="85" spans="1:4">
      <c r="A85" s="97" t="s">
        <v>234</v>
      </c>
      <c r="B85" s="95">
        <v>611690244829</v>
      </c>
      <c r="C85" s="95">
        <v>746949775950</v>
      </c>
      <c r="D85" s="98">
        <v>855613734937</v>
      </c>
    </row>
    <row r="86" spans="1:4">
      <c r="A86" s="97" t="s">
        <v>235</v>
      </c>
      <c r="B86" s="96"/>
      <c r="C86" s="95">
        <v>61175397210</v>
      </c>
      <c r="D86" s="99"/>
    </row>
    <row r="87" spans="1:4">
      <c r="A87" s="97" t="s">
        <v>236</v>
      </c>
      <c r="B87" s="95">
        <v>117220949035</v>
      </c>
      <c r="C87" s="95">
        <v>409770233</v>
      </c>
      <c r="D87" s="98">
        <v>5901047278</v>
      </c>
    </row>
    <row r="88" spans="1:4">
      <c r="A88" s="97" t="s">
        <v>237</v>
      </c>
      <c r="B88" s="95">
        <v>1046122086</v>
      </c>
      <c r="C88" s="95">
        <v>1214102303</v>
      </c>
      <c r="D88" s="98">
        <v>296146745</v>
      </c>
    </row>
    <row r="89" spans="1:4">
      <c r="A89" s="97" t="s">
        <v>238</v>
      </c>
      <c r="B89" s="95">
        <v>147455572322</v>
      </c>
      <c r="C89" s="95">
        <v>131076549709</v>
      </c>
      <c r="D89" s="98">
        <v>163410762057</v>
      </c>
    </row>
    <row r="90" spans="1:4">
      <c r="A90" s="97" t="s">
        <v>239</v>
      </c>
      <c r="B90" s="95">
        <v>187117025264</v>
      </c>
      <c r="C90" s="95">
        <v>142583050574</v>
      </c>
      <c r="D90" s="98">
        <v>75846892366</v>
      </c>
    </row>
    <row r="91" spans="1:4">
      <c r="A91" s="97" t="s">
        <v>240</v>
      </c>
      <c r="B91" s="95">
        <v>12589522390</v>
      </c>
      <c r="C91" s="95">
        <v>13652467247</v>
      </c>
      <c r="D91" s="98">
        <v>29670715952</v>
      </c>
    </row>
    <row r="92" spans="1:4">
      <c r="A92" s="97" t="s">
        <v>241</v>
      </c>
      <c r="B92" s="95">
        <v>10632637247</v>
      </c>
      <c r="C92" s="95">
        <v>14683965058</v>
      </c>
      <c r="D92" s="99"/>
    </row>
    <row r="93" spans="1:4">
      <c r="A93" s="97" t="s">
        <v>256</v>
      </c>
      <c r="B93" s="95">
        <v>541440000</v>
      </c>
      <c r="C93" s="96"/>
      <c r="D93" s="99"/>
    </row>
    <row r="94" spans="1:4">
      <c r="A94" s="97" t="s">
        <v>242</v>
      </c>
      <c r="B94" s="95">
        <v>1969305510636</v>
      </c>
      <c r="C94" s="95">
        <v>1797845631911</v>
      </c>
      <c r="D94" s="98">
        <v>1844594260841</v>
      </c>
    </row>
    <row r="95" spans="1:4">
      <c r="A95" s="97" t="s">
        <v>243</v>
      </c>
      <c r="B95" s="96"/>
      <c r="C95" s="96"/>
      <c r="D95" s="99"/>
    </row>
    <row r="96" spans="1:4">
      <c r="A96" s="97" t="s">
        <v>244</v>
      </c>
      <c r="B96" s="95">
        <v>1249653574381</v>
      </c>
      <c r="C96" s="95">
        <v>991677842021</v>
      </c>
      <c r="D96" s="98">
        <v>798990293889</v>
      </c>
    </row>
    <row r="97" spans="1:4">
      <c r="A97" s="97" t="s">
        <v>245</v>
      </c>
      <c r="B97" s="95">
        <v>61115070000</v>
      </c>
      <c r="C97" s="95">
        <v>61115070000</v>
      </c>
      <c r="D97" s="98">
        <v>61115070000</v>
      </c>
    </row>
    <row r="98" spans="1:4">
      <c r="A98" s="97" t="s">
        <v>246</v>
      </c>
      <c r="B98" s="95">
        <v>117766679366</v>
      </c>
      <c r="C98" s="95">
        <v>117766679366</v>
      </c>
      <c r="D98" s="98">
        <v>117766679366</v>
      </c>
    </row>
    <row r="99" spans="1:4">
      <c r="A99" s="97" t="s">
        <v>247</v>
      </c>
      <c r="B99" s="95">
        <v>-34296293023</v>
      </c>
      <c r="C99" s="95">
        <v>-9060116061</v>
      </c>
      <c r="D99" s="98">
        <v>-13089144096</v>
      </c>
    </row>
    <row r="100" spans="1:4">
      <c r="A100" s="97" t="s">
        <v>248</v>
      </c>
      <c r="B100" s="95">
        <v>25053811764</v>
      </c>
      <c r="C100" s="95">
        <v>-583013337</v>
      </c>
      <c r="D100" s="98">
        <v>-46461317240</v>
      </c>
    </row>
    <row r="101" spans="1:4">
      <c r="A101" s="97" t="s">
        <v>249</v>
      </c>
      <c r="B101" s="95">
        <v>1080014306274</v>
      </c>
      <c r="C101" s="95">
        <v>822439222053</v>
      </c>
      <c r="D101" s="98">
        <v>679659005859</v>
      </c>
    </row>
    <row r="102" spans="1:4">
      <c r="A102" s="97" t="s">
        <v>157</v>
      </c>
      <c r="B102" s="95">
        <v>551290043444</v>
      </c>
      <c r="C102" s="95">
        <v>514816034138</v>
      </c>
      <c r="D102" s="98">
        <v>435339663409</v>
      </c>
    </row>
    <row r="103" spans="1:4">
      <c r="A103" s="97" t="s">
        <v>250</v>
      </c>
      <c r="B103" s="95">
        <v>1800943617825</v>
      </c>
      <c r="C103" s="95">
        <v>1506493876159</v>
      </c>
      <c r="D103" s="98">
        <v>1234329957298</v>
      </c>
    </row>
    <row r="104" spans="1:4">
      <c r="A104" s="100" t="s">
        <v>251</v>
      </c>
      <c r="B104" s="101">
        <v>3770249128461</v>
      </c>
      <c r="C104" s="101">
        <v>3304339508070</v>
      </c>
      <c r="D104" s="122">
        <v>3078924218139</v>
      </c>
    </row>
  </sheetData>
  <phoneticPr fontId="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99"/>
  <sheetViews>
    <sheetView topLeftCell="A12" zoomScale="85" zoomScaleNormal="85" workbookViewId="0">
      <selection activeCell="B42" sqref="B42"/>
    </sheetView>
  </sheetViews>
  <sheetFormatPr defaultRowHeight="16.5"/>
  <cols>
    <col min="1" max="1" width="85.125" bestFit="1" customWidth="1"/>
    <col min="2" max="3" width="17.75" bestFit="1" customWidth="1"/>
    <col min="4" max="5" width="16" bestFit="1" customWidth="1"/>
  </cols>
  <sheetData>
    <row r="1" spans="1:5">
      <c r="A1" s="102" t="s">
        <v>195</v>
      </c>
      <c r="B1" s="103"/>
      <c r="C1" s="103"/>
      <c r="D1" s="103"/>
      <c r="E1" s="103"/>
    </row>
    <row r="2" spans="1:5">
      <c r="A2" s="104" t="s">
        <v>264</v>
      </c>
      <c r="B2" s="103"/>
      <c r="C2" s="103"/>
      <c r="D2" s="103"/>
      <c r="E2" s="103"/>
    </row>
    <row r="3" spans="1:5">
      <c r="A3" s="104" t="s">
        <v>265</v>
      </c>
      <c r="B3" s="103"/>
      <c r="C3" s="103"/>
      <c r="D3" s="103"/>
      <c r="E3" s="103"/>
    </row>
    <row r="4" spans="1:5">
      <c r="A4" s="105" t="s">
        <v>125</v>
      </c>
      <c r="B4" s="103"/>
      <c r="C4" s="103"/>
      <c r="D4" s="103"/>
      <c r="E4" s="103"/>
    </row>
    <row r="5" spans="1:5">
      <c r="A5" s="127"/>
      <c r="B5" s="128" t="s">
        <v>266</v>
      </c>
      <c r="C5" s="129" t="s">
        <v>267</v>
      </c>
      <c r="D5" s="103"/>
      <c r="E5" s="103"/>
    </row>
    <row r="6" spans="1:5">
      <c r="A6" s="108" t="s">
        <v>200</v>
      </c>
      <c r="B6" s="111"/>
      <c r="C6" s="112"/>
      <c r="D6" s="103"/>
      <c r="E6" s="103"/>
    </row>
    <row r="7" spans="1:5">
      <c r="A7" s="108" t="s">
        <v>201</v>
      </c>
      <c r="B7" s="109">
        <v>1835928269143</v>
      </c>
      <c r="C7" s="110">
        <v>1586809823252</v>
      </c>
      <c r="D7" s="103"/>
      <c r="E7" s="103"/>
    </row>
    <row r="8" spans="1:5">
      <c r="A8" s="108" t="s">
        <v>202</v>
      </c>
      <c r="B8" s="109">
        <v>354275510120</v>
      </c>
      <c r="C8" s="110">
        <v>232032424388</v>
      </c>
      <c r="D8" s="103"/>
      <c r="E8" s="103"/>
    </row>
    <row r="9" spans="1:5">
      <c r="A9" s="108" t="s">
        <v>203</v>
      </c>
      <c r="B9" s="109">
        <v>630270122152</v>
      </c>
      <c r="C9" s="110">
        <v>521046723030</v>
      </c>
      <c r="D9" s="103"/>
      <c r="E9" s="103"/>
    </row>
    <row r="10" spans="1:5">
      <c r="A10" s="108" t="s">
        <v>204</v>
      </c>
      <c r="B10" s="109">
        <v>707092095641</v>
      </c>
      <c r="C10" s="110">
        <v>735481062571</v>
      </c>
      <c r="D10" s="103"/>
      <c r="E10" s="103"/>
    </row>
    <row r="11" spans="1:5">
      <c r="A11" s="108" t="s">
        <v>205</v>
      </c>
      <c r="B11" s="109">
        <v>54058459273</v>
      </c>
      <c r="C11" s="110">
        <v>7133991707</v>
      </c>
      <c r="D11" s="103"/>
      <c r="E11" s="103"/>
    </row>
    <row r="12" spans="1:5">
      <c r="A12" s="108" t="s">
        <v>268</v>
      </c>
      <c r="B12" s="109">
        <v>6870733247</v>
      </c>
      <c r="C12" s="110">
        <v>7027759165</v>
      </c>
      <c r="D12" s="103"/>
      <c r="E12" s="103"/>
    </row>
    <row r="13" spans="1:5">
      <c r="A13" s="108" t="s">
        <v>207</v>
      </c>
      <c r="B13" s="109">
        <v>10390288107</v>
      </c>
      <c r="C13" s="110">
        <v>13090454980</v>
      </c>
      <c r="D13" s="103"/>
      <c r="E13" s="103"/>
    </row>
    <row r="14" spans="1:5">
      <c r="A14" s="108" t="s">
        <v>208</v>
      </c>
      <c r="B14" s="109">
        <v>15307741800</v>
      </c>
      <c r="C14" s="110">
        <v>5266761574</v>
      </c>
      <c r="D14" s="103"/>
      <c r="E14" s="103"/>
    </row>
    <row r="15" spans="1:5">
      <c r="A15" s="108" t="s">
        <v>209</v>
      </c>
      <c r="B15" s="109">
        <v>1100108867</v>
      </c>
      <c r="C15" s="110">
        <v>692483335</v>
      </c>
      <c r="D15" s="103"/>
      <c r="E15" s="103"/>
    </row>
    <row r="16" spans="1:5">
      <c r="A16" s="108" t="s">
        <v>210</v>
      </c>
      <c r="B16" s="109">
        <v>56563209936</v>
      </c>
      <c r="C16" s="110">
        <v>65038162502</v>
      </c>
      <c r="D16" s="103"/>
      <c r="E16" s="103"/>
    </row>
    <row r="17" spans="1:5">
      <c r="A17" s="108" t="s">
        <v>211</v>
      </c>
      <c r="B17" s="109">
        <v>2285614475041</v>
      </c>
      <c r="C17" s="110">
        <v>2183439305209</v>
      </c>
      <c r="D17" s="103"/>
      <c r="E17" s="103"/>
    </row>
    <row r="18" spans="1:5">
      <c r="A18" s="108" t="s">
        <v>212</v>
      </c>
      <c r="B18" s="109">
        <v>22573752737</v>
      </c>
      <c r="C18" s="110">
        <v>21152138991</v>
      </c>
      <c r="D18" s="103"/>
      <c r="E18" s="103"/>
    </row>
    <row r="19" spans="1:5">
      <c r="A19" s="108" t="s">
        <v>213</v>
      </c>
      <c r="B19" s="109">
        <v>21968624347</v>
      </c>
      <c r="C19" s="110">
        <v>23581763662</v>
      </c>
      <c r="D19" s="103"/>
      <c r="E19" s="103"/>
    </row>
    <row r="20" spans="1:5">
      <c r="A20" s="108" t="s">
        <v>214</v>
      </c>
      <c r="B20" s="109">
        <v>447393101562</v>
      </c>
      <c r="C20" s="110">
        <v>439052048066</v>
      </c>
      <c r="D20" s="103"/>
      <c r="E20" s="103"/>
    </row>
    <row r="21" spans="1:5">
      <c r="A21" s="108" t="s">
        <v>215</v>
      </c>
      <c r="B21" s="109">
        <v>1625700480462</v>
      </c>
      <c r="C21" s="110">
        <v>1547923372827</v>
      </c>
      <c r="D21" s="103"/>
      <c r="E21" s="103"/>
    </row>
    <row r="22" spans="1:5">
      <c r="A22" s="108" t="s">
        <v>216</v>
      </c>
      <c r="B22" s="109">
        <v>75720485171</v>
      </c>
      <c r="C22" s="110">
        <v>66210958086</v>
      </c>
      <c r="D22" s="103"/>
      <c r="E22" s="103"/>
    </row>
    <row r="23" spans="1:5">
      <c r="A23" s="108" t="s">
        <v>217</v>
      </c>
      <c r="B23" s="109">
        <v>3437900000</v>
      </c>
      <c r="C23" s="110">
        <v>3437900000</v>
      </c>
      <c r="D23" s="103"/>
      <c r="E23" s="103"/>
    </row>
    <row r="24" spans="1:5">
      <c r="A24" s="108" t="s">
        <v>218</v>
      </c>
      <c r="B24" s="109">
        <v>4209928960</v>
      </c>
      <c r="C24" s="110">
        <v>1284246811</v>
      </c>
      <c r="D24" s="103"/>
      <c r="E24" s="103"/>
    </row>
    <row r="25" spans="1:5">
      <c r="A25" s="108" t="s">
        <v>219</v>
      </c>
      <c r="B25" s="109">
        <v>78220378264</v>
      </c>
      <c r="C25" s="110">
        <v>74558115739</v>
      </c>
      <c r="D25" s="103"/>
      <c r="E25" s="103"/>
    </row>
    <row r="26" spans="1:5">
      <c r="A26" s="108" t="s">
        <v>220</v>
      </c>
      <c r="B26" s="109">
        <v>6389823538</v>
      </c>
      <c r="C26" s="110">
        <v>6238761027</v>
      </c>
      <c r="D26" s="103"/>
      <c r="E26" s="103"/>
    </row>
    <row r="27" spans="1:5">
      <c r="A27" s="108" t="s">
        <v>221</v>
      </c>
      <c r="B27" s="109">
        <v>4121542744184</v>
      </c>
      <c r="C27" s="110">
        <v>3770249128461</v>
      </c>
      <c r="D27" s="103"/>
      <c r="E27" s="103"/>
    </row>
    <row r="28" spans="1:5">
      <c r="A28" s="108" t="s">
        <v>222</v>
      </c>
      <c r="B28" s="111"/>
      <c r="C28" s="112"/>
      <c r="D28" s="103"/>
      <c r="E28" s="103"/>
    </row>
    <row r="29" spans="1:5">
      <c r="A29" s="108" t="s">
        <v>223</v>
      </c>
      <c r="B29" s="109">
        <v>1084932190196</v>
      </c>
      <c r="C29" s="110">
        <v>867356008900</v>
      </c>
      <c r="D29" s="103"/>
      <c r="E29" s="103"/>
    </row>
    <row r="30" spans="1:5">
      <c r="A30" s="108" t="s">
        <v>224</v>
      </c>
      <c r="B30" s="109">
        <v>381041795341</v>
      </c>
      <c r="C30" s="110">
        <v>413004383530</v>
      </c>
      <c r="D30" s="103"/>
      <c r="E30" s="103"/>
    </row>
    <row r="31" spans="1:5">
      <c r="A31" s="108" t="s">
        <v>225</v>
      </c>
      <c r="B31" s="109">
        <v>475760532235</v>
      </c>
      <c r="C31" s="110">
        <v>236394330219</v>
      </c>
      <c r="D31" s="103"/>
      <c r="E31" s="103"/>
    </row>
    <row r="32" spans="1:5">
      <c r="A32" s="108" t="s">
        <v>255</v>
      </c>
      <c r="B32" s="109">
        <v>67184536358</v>
      </c>
      <c r="C32" s="110">
        <v>63568318209</v>
      </c>
      <c r="D32" s="103"/>
      <c r="E32" s="103"/>
    </row>
    <row r="33" spans="1:5">
      <c r="A33" s="108" t="s">
        <v>226</v>
      </c>
      <c r="B33" s="109">
        <v>30597511952</v>
      </c>
      <c r="C33" s="110">
        <v>28841201387</v>
      </c>
      <c r="D33" s="103"/>
      <c r="E33" s="103"/>
    </row>
    <row r="34" spans="1:5">
      <c r="A34" s="108" t="s">
        <v>227</v>
      </c>
      <c r="B34" s="109">
        <v>7884822485</v>
      </c>
      <c r="C34" s="110">
        <v>5120776887</v>
      </c>
      <c r="D34" s="103"/>
      <c r="E34" s="103"/>
    </row>
    <row r="35" spans="1:5">
      <c r="A35" s="108" t="s">
        <v>228</v>
      </c>
      <c r="B35" s="109">
        <v>7305164445</v>
      </c>
      <c r="C35" s="110">
        <v>6574668133</v>
      </c>
      <c r="D35" s="103"/>
      <c r="E35" s="103"/>
    </row>
    <row r="36" spans="1:5">
      <c r="A36" s="108" t="s">
        <v>229</v>
      </c>
      <c r="B36" s="109">
        <v>20594308715</v>
      </c>
      <c r="C36" s="110">
        <v>21742332869</v>
      </c>
      <c r="D36" s="103"/>
      <c r="E36" s="103"/>
    </row>
    <row r="37" spans="1:5">
      <c r="A37" s="108" t="s">
        <v>230</v>
      </c>
      <c r="B37" s="109">
        <v>28625361935</v>
      </c>
      <c r="C37" s="110">
        <v>32400303811</v>
      </c>
      <c r="D37" s="103"/>
      <c r="E37" s="103"/>
    </row>
    <row r="38" spans="1:5">
      <c r="A38" s="108" t="s">
        <v>231</v>
      </c>
      <c r="B38" s="109">
        <v>65938156730</v>
      </c>
      <c r="C38" s="110">
        <v>59709693855</v>
      </c>
      <c r="D38" s="103"/>
      <c r="E38" s="103"/>
    </row>
    <row r="39" spans="1:5">
      <c r="A39" s="108" t="s">
        <v>232</v>
      </c>
      <c r="B39" s="109">
        <v>1161860657686</v>
      </c>
      <c r="C39" s="110">
        <v>1101949501736</v>
      </c>
      <c r="D39" s="103"/>
      <c r="E39" s="103"/>
    </row>
    <row r="40" spans="1:5">
      <c r="A40" s="108" t="s">
        <v>233</v>
      </c>
      <c r="B40" s="109">
        <v>13724935319</v>
      </c>
      <c r="C40" s="110">
        <v>13655988563</v>
      </c>
      <c r="D40" s="103"/>
      <c r="E40" s="103"/>
    </row>
    <row r="41" spans="1:5">
      <c r="A41" s="108" t="s">
        <v>234</v>
      </c>
      <c r="B41" s="109">
        <v>627728909294</v>
      </c>
      <c r="C41" s="110">
        <v>611690244829</v>
      </c>
      <c r="D41" s="103"/>
      <c r="E41" s="103"/>
    </row>
    <row r="42" spans="1:5">
      <c r="A42" s="108" t="s">
        <v>236</v>
      </c>
      <c r="B42" s="109">
        <v>115309498418</v>
      </c>
      <c r="C42" s="110">
        <v>117220949035</v>
      </c>
      <c r="D42" s="103"/>
      <c r="E42" s="103"/>
    </row>
    <row r="43" spans="1:5">
      <c r="A43" s="108" t="s">
        <v>237</v>
      </c>
      <c r="B43" s="109">
        <v>1243011307</v>
      </c>
      <c r="C43" s="110">
        <v>1046122086</v>
      </c>
      <c r="D43" s="103"/>
      <c r="E43" s="103"/>
    </row>
    <row r="44" spans="1:5">
      <c r="A44" s="108" t="s">
        <v>238</v>
      </c>
      <c r="B44" s="109">
        <v>157608783013</v>
      </c>
      <c r="C44" s="110">
        <v>147455572322</v>
      </c>
      <c r="D44" s="103"/>
      <c r="E44" s="103"/>
    </row>
    <row r="45" spans="1:5">
      <c r="A45" s="108" t="s">
        <v>239</v>
      </c>
      <c r="B45" s="109">
        <v>217815090560</v>
      </c>
      <c r="C45" s="110">
        <v>187117025264</v>
      </c>
      <c r="D45" s="103"/>
      <c r="E45" s="103"/>
    </row>
    <row r="46" spans="1:5">
      <c r="A46" s="108" t="s">
        <v>240</v>
      </c>
      <c r="B46" s="109">
        <v>17374774503</v>
      </c>
      <c r="C46" s="110">
        <v>12589522390</v>
      </c>
      <c r="D46" s="103"/>
      <c r="E46" s="103"/>
    </row>
    <row r="47" spans="1:5">
      <c r="A47" s="108" t="s">
        <v>241</v>
      </c>
      <c r="B47" s="109">
        <v>10514215272</v>
      </c>
      <c r="C47" s="110">
        <v>10632637247</v>
      </c>
      <c r="D47" s="103"/>
      <c r="E47" s="103"/>
    </row>
    <row r="48" spans="1:5">
      <c r="A48" s="108" t="s">
        <v>256</v>
      </c>
      <c r="B48" s="109">
        <v>541440000</v>
      </c>
      <c r="C48" s="110">
        <v>541440000</v>
      </c>
      <c r="D48" s="103"/>
      <c r="E48" s="103"/>
    </row>
    <row r="49" spans="1:5">
      <c r="A49" s="108" t="s">
        <v>242</v>
      </c>
      <c r="B49" s="109">
        <v>2246792847882</v>
      </c>
      <c r="C49" s="110">
        <v>1969305510636</v>
      </c>
      <c r="D49" s="103"/>
      <c r="E49" s="103"/>
    </row>
    <row r="50" spans="1:5">
      <c r="A50" s="108" t="s">
        <v>243</v>
      </c>
      <c r="B50" s="111"/>
      <c r="C50" s="112"/>
      <c r="D50" s="103"/>
      <c r="E50" s="103"/>
    </row>
    <row r="51" spans="1:5">
      <c r="A51" s="108" t="s">
        <v>244</v>
      </c>
      <c r="B51" s="109">
        <v>1306849988788</v>
      </c>
      <c r="C51" s="110">
        <v>1249653574381</v>
      </c>
      <c r="D51" s="103"/>
      <c r="E51" s="103"/>
    </row>
    <row r="52" spans="1:5">
      <c r="A52" s="108" t="s">
        <v>245</v>
      </c>
      <c r="B52" s="109">
        <v>61115070000</v>
      </c>
      <c r="C52" s="110">
        <v>61115070000</v>
      </c>
      <c r="D52" s="103"/>
      <c r="E52" s="103"/>
    </row>
    <row r="53" spans="1:5">
      <c r="A53" s="108" t="s">
        <v>246</v>
      </c>
      <c r="B53" s="109">
        <v>117766679366</v>
      </c>
      <c r="C53" s="110">
        <v>117766679366</v>
      </c>
      <c r="D53" s="103"/>
      <c r="E53" s="103"/>
    </row>
    <row r="54" spans="1:5">
      <c r="A54" s="108" t="s">
        <v>247</v>
      </c>
      <c r="B54" s="109">
        <v>-28556443813</v>
      </c>
      <c r="C54" s="110">
        <v>-34296293023</v>
      </c>
      <c r="D54" s="103"/>
      <c r="E54" s="103"/>
    </row>
    <row r="55" spans="1:5">
      <c r="A55" s="108" t="s">
        <v>248</v>
      </c>
      <c r="B55" s="109">
        <v>75391295393</v>
      </c>
      <c r="C55" s="110">
        <v>25053811764</v>
      </c>
      <c r="D55" s="103"/>
      <c r="E55" s="103"/>
    </row>
    <row r="56" spans="1:5">
      <c r="A56" s="108" t="s">
        <v>249</v>
      </c>
      <c r="B56" s="109">
        <v>1081133387842</v>
      </c>
      <c r="C56" s="110">
        <v>1080014306274</v>
      </c>
      <c r="D56" s="103"/>
      <c r="E56" s="103"/>
    </row>
    <row r="57" spans="1:5">
      <c r="A57" s="108" t="s">
        <v>157</v>
      </c>
      <c r="B57" s="109">
        <v>567899907514</v>
      </c>
      <c r="C57" s="110">
        <v>551290043444</v>
      </c>
      <c r="D57" s="103"/>
      <c r="E57" s="103"/>
    </row>
    <row r="58" spans="1:5">
      <c r="A58" s="108" t="s">
        <v>250</v>
      </c>
      <c r="B58" s="109">
        <v>1874749896302</v>
      </c>
      <c r="C58" s="110">
        <v>1800943617825</v>
      </c>
      <c r="D58" s="103"/>
      <c r="E58" s="103"/>
    </row>
    <row r="59" spans="1:5">
      <c r="A59" s="113" t="s">
        <v>251</v>
      </c>
      <c r="B59" s="114">
        <v>4121542744184</v>
      </c>
      <c r="C59" s="123">
        <v>3770249128461</v>
      </c>
      <c r="D59" s="103"/>
      <c r="E59" s="103"/>
    </row>
    <row r="60" spans="1:5">
      <c r="A60" s="133"/>
      <c r="B60" s="103"/>
      <c r="C60" s="103"/>
      <c r="D60" s="103"/>
      <c r="E60" s="103"/>
    </row>
    <row r="61" spans="1:5">
      <c r="A61" s="102" t="s">
        <v>122</v>
      </c>
      <c r="B61" s="103"/>
      <c r="C61" s="103"/>
      <c r="D61" s="103"/>
      <c r="E61" s="103"/>
    </row>
    <row r="62" spans="1:5">
      <c r="A62" s="104" t="s">
        <v>269</v>
      </c>
      <c r="B62" s="103"/>
      <c r="C62" s="103"/>
      <c r="D62" s="103"/>
      <c r="E62" s="103"/>
    </row>
    <row r="63" spans="1:5">
      <c r="A63" s="104" t="s">
        <v>123</v>
      </c>
      <c r="B63" s="103"/>
      <c r="C63" s="103"/>
      <c r="D63" s="103"/>
      <c r="E63" s="103"/>
    </row>
    <row r="64" spans="1:5">
      <c r="A64" s="105" t="s">
        <v>125</v>
      </c>
      <c r="B64" s="103"/>
      <c r="C64" s="103"/>
      <c r="D64" s="103"/>
      <c r="E64" s="103"/>
    </row>
    <row r="65" spans="1:5">
      <c r="A65" s="117"/>
      <c r="B65" s="118" t="s">
        <v>270</v>
      </c>
      <c r="C65" s="119"/>
      <c r="D65" s="118" t="s">
        <v>126</v>
      </c>
      <c r="E65" s="120"/>
    </row>
    <row r="66" spans="1:5">
      <c r="A66" s="121"/>
      <c r="B66" s="106" t="s">
        <v>128</v>
      </c>
      <c r="C66" s="106" t="s">
        <v>129</v>
      </c>
      <c r="D66" s="106" t="s">
        <v>128</v>
      </c>
      <c r="E66" s="107" t="s">
        <v>129</v>
      </c>
    </row>
    <row r="67" spans="1:5">
      <c r="A67" s="108" t="s">
        <v>271</v>
      </c>
      <c r="B67" s="109">
        <v>789900935892</v>
      </c>
      <c r="C67" s="109">
        <v>789900935892</v>
      </c>
      <c r="D67" s="109">
        <v>834576235644</v>
      </c>
      <c r="E67" s="110">
        <v>834576235644</v>
      </c>
    </row>
    <row r="68" spans="1:5">
      <c r="A68" s="108" t="s">
        <v>131</v>
      </c>
      <c r="B68" s="109">
        <v>408201731100</v>
      </c>
      <c r="C68" s="109">
        <v>408201731100</v>
      </c>
      <c r="D68" s="109">
        <v>416857332871</v>
      </c>
      <c r="E68" s="110">
        <v>416857332871</v>
      </c>
    </row>
    <row r="69" spans="1:5">
      <c r="A69" s="108" t="s">
        <v>132</v>
      </c>
      <c r="B69" s="109">
        <v>381699204792</v>
      </c>
      <c r="C69" s="109">
        <v>381699204792</v>
      </c>
      <c r="D69" s="109">
        <v>417718902773</v>
      </c>
      <c r="E69" s="110">
        <v>417718902773</v>
      </c>
    </row>
    <row r="70" spans="1:5">
      <c r="A70" s="108" t="s">
        <v>133</v>
      </c>
      <c r="B70" s="109">
        <v>314556988717</v>
      </c>
      <c r="C70" s="109">
        <v>314556988717</v>
      </c>
      <c r="D70" s="109">
        <v>301868925795</v>
      </c>
      <c r="E70" s="110">
        <v>301868925795</v>
      </c>
    </row>
    <row r="71" spans="1:5">
      <c r="A71" s="108" t="s">
        <v>134</v>
      </c>
      <c r="B71" s="109">
        <v>67142216075</v>
      </c>
      <c r="C71" s="109">
        <v>67142216075</v>
      </c>
      <c r="D71" s="109">
        <v>115849976978</v>
      </c>
      <c r="E71" s="110">
        <v>115849976978</v>
      </c>
    </row>
    <row r="72" spans="1:5">
      <c r="A72" s="108" t="s">
        <v>135</v>
      </c>
      <c r="B72" s="109">
        <v>912757358</v>
      </c>
      <c r="C72" s="109">
        <v>912757358</v>
      </c>
      <c r="D72" s="109">
        <v>3104230959</v>
      </c>
      <c r="E72" s="110">
        <v>3104230959</v>
      </c>
    </row>
    <row r="73" spans="1:5">
      <c r="A73" s="108" t="s">
        <v>136</v>
      </c>
      <c r="B73" s="109">
        <v>3002289071</v>
      </c>
      <c r="C73" s="109">
        <v>3002289071</v>
      </c>
      <c r="D73" s="109">
        <v>912112473</v>
      </c>
      <c r="E73" s="110">
        <v>912112473</v>
      </c>
    </row>
    <row r="74" spans="1:5">
      <c r="A74" s="108" t="s">
        <v>138</v>
      </c>
      <c r="B74" s="109">
        <v>17315799613</v>
      </c>
      <c r="C74" s="109">
        <v>17315799613</v>
      </c>
      <c r="D74" s="109">
        <v>5663664611</v>
      </c>
      <c r="E74" s="110">
        <v>5663664611</v>
      </c>
    </row>
    <row r="75" spans="1:5">
      <c r="A75" s="108" t="s">
        <v>139</v>
      </c>
      <c r="B75" s="109">
        <v>31729054495</v>
      </c>
      <c r="C75" s="109">
        <v>31729054495</v>
      </c>
      <c r="D75" s="109">
        <v>20679232912</v>
      </c>
      <c r="E75" s="110">
        <v>20679232912</v>
      </c>
    </row>
    <row r="76" spans="1:5">
      <c r="A76" s="108" t="s">
        <v>140</v>
      </c>
      <c r="B76" s="109">
        <v>6891000138</v>
      </c>
      <c r="C76" s="109">
        <v>6891000138</v>
      </c>
      <c r="D76" s="109">
        <v>6344551136</v>
      </c>
      <c r="E76" s="110">
        <v>6344551136</v>
      </c>
    </row>
    <row r="77" spans="1:5">
      <c r="A77" s="108" t="s">
        <v>141</v>
      </c>
      <c r="B77" s="109">
        <v>57530429618</v>
      </c>
      <c r="C77" s="109">
        <v>57530429618</v>
      </c>
      <c r="D77" s="109">
        <v>109371078299</v>
      </c>
      <c r="E77" s="110">
        <v>109371078299</v>
      </c>
    </row>
    <row r="78" spans="1:5">
      <c r="A78" s="108" t="s">
        <v>142</v>
      </c>
      <c r="B78" s="109">
        <v>18030286463</v>
      </c>
      <c r="C78" s="109">
        <v>18030286463</v>
      </c>
      <c r="D78" s="109">
        <v>13161028507</v>
      </c>
      <c r="E78" s="110">
        <v>13161028507</v>
      </c>
    </row>
    <row r="79" spans="1:5">
      <c r="A79" s="108" t="s">
        <v>143</v>
      </c>
      <c r="B79" s="109">
        <v>39500143155</v>
      </c>
      <c r="C79" s="109">
        <v>39500143155</v>
      </c>
      <c r="D79" s="109">
        <v>96210049792</v>
      </c>
      <c r="E79" s="110">
        <v>96210049792</v>
      </c>
    </row>
    <row r="80" spans="1:5">
      <c r="A80" s="108" t="s">
        <v>144</v>
      </c>
      <c r="B80" s="111"/>
      <c r="C80" s="111"/>
      <c r="D80" s="111"/>
      <c r="E80" s="112"/>
    </row>
    <row r="81" spans="1:5">
      <c r="A81" s="108" t="s">
        <v>145</v>
      </c>
      <c r="B81" s="111"/>
      <c r="C81" s="111"/>
      <c r="D81" s="111"/>
      <c r="E81" s="112"/>
    </row>
    <row r="82" spans="1:5">
      <c r="A82" s="108" t="s">
        <v>146</v>
      </c>
      <c r="B82" s="109">
        <v>1825299135</v>
      </c>
      <c r="C82" s="109">
        <v>1825299135</v>
      </c>
      <c r="D82" s="109">
        <v>1306974225</v>
      </c>
      <c r="E82" s="110">
        <v>1306974225</v>
      </c>
    </row>
    <row r="83" spans="1:5">
      <c r="A83" s="108" t="s">
        <v>147</v>
      </c>
      <c r="B83" s="111"/>
      <c r="C83" s="111"/>
      <c r="D83" s="111"/>
      <c r="E83" s="112"/>
    </row>
    <row r="84" spans="1:5">
      <c r="A84" s="108" t="s">
        <v>148</v>
      </c>
      <c r="B84" s="109">
        <v>-1375901604</v>
      </c>
      <c r="C84" s="109">
        <v>-1375901604</v>
      </c>
      <c r="D84" s="109">
        <v>825266294</v>
      </c>
      <c r="E84" s="110">
        <v>825266294</v>
      </c>
    </row>
    <row r="85" spans="1:5">
      <c r="A85" s="108" t="s">
        <v>149</v>
      </c>
      <c r="B85" s="109">
        <v>67152337524</v>
      </c>
      <c r="C85" s="109">
        <v>67152337524</v>
      </c>
      <c r="D85" s="109">
        <v>18997875034</v>
      </c>
      <c r="E85" s="110">
        <v>18997875034</v>
      </c>
    </row>
    <row r="86" spans="1:5">
      <c r="A86" s="108" t="s">
        <v>150</v>
      </c>
      <c r="B86" s="109">
        <v>4149138574</v>
      </c>
      <c r="C86" s="109">
        <v>4149138574</v>
      </c>
      <c r="D86" s="109">
        <v>-108521148</v>
      </c>
      <c r="E86" s="110">
        <v>-108521148</v>
      </c>
    </row>
    <row r="87" spans="1:5">
      <c r="A87" s="108" t="s">
        <v>151</v>
      </c>
      <c r="B87" s="109">
        <v>71750873629</v>
      </c>
      <c r="C87" s="109">
        <v>71750873629</v>
      </c>
      <c r="D87" s="109">
        <v>21021594405</v>
      </c>
      <c r="E87" s="110">
        <v>21021594405</v>
      </c>
    </row>
    <row r="88" spans="1:5">
      <c r="A88" s="108" t="s">
        <v>152</v>
      </c>
      <c r="B88" s="109">
        <v>111251016784</v>
      </c>
      <c r="C88" s="109">
        <v>111251016784</v>
      </c>
      <c r="D88" s="109">
        <v>117231644197</v>
      </c>
      <c r="E88" s="110">
        <v>117231644197</v>
      </c>
    </row>
    <row r="89" spans="1:5">
      <c r="A89" s="108" t="s">
        <v>153</v>
      </c>
      <c r="B89" s="111"/>
      <c r="C89" s="111"/>
      <c r="D89" s="111"/>
      <c r="E89" s="112"/>
    </row>
    <row r="90" spans="1:5">
      <c r="A90" s="108" t="s">
        <v>154</v>
      </c>
      <c r="B90" s="109">
        <v>33613364054</v>
      </c>
      <c r="C90" s="109">
        <v>33613364054</v>
      </c>
      <c r="D90" s="109">
        <v>70278367767</v>
      </c>
      <c r="E90" s="110">
        <v>70278367767</v>
      </c>
    </row>
    <row r="91" spans="1:5">
      <c r="A91" s="108" t="s">
        <v>155</v>
      </c>
      <c r="B91" s="109">
        <v>5886779101</v>
      </c>
      <c r="C91" s="109">
        <v>5886779101</v>
      </c>
      <c r="D91" s="109">
        <v>25931682025</v>
      </c>
      <c r="E91" s="110">
        <v>25931682025</v>
      </c>
    </row>
    <row r="92" spans="1:5">
      <c r="A92" s="108" t="s">
        <v>156</v>
      </c>
      <c r="B92" s="111"/>
      <c r="C92" s="111"/>
      <c r="D92" s="111"/>
      <c r="E92" s="112"/>
    </row>
    <row r="93" spans="1:5">
      <c r="A93" s="108" t="s">
        <v>154</v>
      </c>
      <c r="B93" s="109">
        <v>84791092592</v>
      </c>
      <c r="C93" s="109">
        <v>84997540960</v>
      </c>
      <c r="D93" s="109">
        <v>87515567121</v>
      </c>
      <c r="E93" s="110">
        <v>87515567121</v>
      </c>
    </row>
    <row r="94" spans="1:5">
      <c r="A94" s="108" t="s">
        <v>157</v>
      </c>
      <c r="B94" s="109">
        <v>26459924192</v>
      </c>
      <c r="C94" s="109">
        <v>26459924192</v>
      </c>
      <c r="D94" s="109">
        <v>29716077076</v>
      </c>
      <c r="E94" s="110">
        <v>29716077076</v>
      </c>
    </row>
    <row r="95" spans="1:5">
      <c r="A95" s="108" t="s">
        <v>158</v>
      </c>
      <c r="B95" s="111"/>
      <c r="C95" s="111"/>
      <c r="D95" s="111"/>
      <c r="E95" s="112"/>
    </row>
    <row r="96" spans="1:5">
      <c r="A96" s="108" t="s">
        <v>159</v>
      </c>
      <c r="B96" s="111">
        <v>555</v>
      </c>
      <c r="C96" s="111">
        <v>555</v>
      </c>
      <c r="D96" s="109">
        <v>1150</v>
      </c>
      <c r="E96" s="110">
        <v>1150</v>
      </c>
    </row>
    <row r="97" spans="1:5">
      <c r="A97" s="113" t="s">
        <v>160</v>
      </c>
      <c r="B97" s="115">
        <v>555</v>
      </c>
      <c r="C97" s="115">
        <v>555</v>
      </c>
      <c r="D97" s="114">
        <v>1150</v>
      </c>
      <c r="E97" s="123">
        <v>1150</v>
      </c>
    </row>
    <row r="99" spans="1:5">
      <c r="B99" s="134"/>
    </row>
  </sheetData>
  <phoneticPr fontId="3"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99"/>
  <sheetViews>
    <sheetView topLeftCell="A21" zoomScale="85" zoomScaleNormal="85" workbookViewId="0">
      <selection activeCell="A39" sqref="A39:B45"/>
    </sheetView>
  </sheetViews>
  <sheetFormatPr defaultRowHeight="16.5"/>
  <cols>
    <col min="1" max="1" width="55" customWidth="1"/>
    <col min="2" max="3" width="17.75" bestFit="1" customWidth="1"/>
    <col min="4" max="4" width="16" bestFit="1" customWidth="1"/>
    <col min="5" max="5" width="17.75" bestFit="1" customWidth="1"/>
  </cols>
  <sheetData>
    <row r="1" spans="1:5">
      <c r="A1" s="102" t="s">
        <v>195</v>
      </c>
      <c r="B1" s="103"/>
      <c r="C1" s="103"/>
      <c r="D1" s="103"/>
      <c r="E1" s="103"/>
    </row>
    <row r="2" spans="1:5">
      <c r="A2" s="104" t="s">
        <v>272</v>
      </c>
      <c r="B2" s="103"/>
      <c r="C2" s="103"/>
      <c r="D2" s="103"/>
      <c r="E2" s="103"/>
    </row>
    <row r="3" spans="1:5">
      <c r="A3" s="104" t="s">
        <v>273</v>
      </c>
      <c r="B3" s="103"/>
      <c r="C3" s="103"/>
      <c r="D3" s="103"/>
      <c r="E3" s="103"/>
    </row>
    <row r="4" spans="1:5">
      <c r="A4" s="105" t="s">
        <v>125</v>
      </c>
      <c r="B4" s="103"/>
      <c r="C4" s="103"/>
      <c r="D4" s="103"/>
      <c r="E4" s="103"/>
    </row>
    <row r="5" spans="1:5">
      <c r="A5" s="127"/>
      <c r="B5" s="128" t="s">
        <v>274</v>
      </c>
      <c r="C5" s="129" t="s">
        <v>267</v>
      </c>
      <c r="D5" s="103"/>
      <c r="E5" s="103"/>
    </row>
    <row r="6" spans="1:5">
      <c r="A6" s="108" t="s">
        <v>200</v>
      </c>
      <c r="B6" s="111"/>
      <c r="C6" s="112"/>
      <c r="D6" s="103"/>
      <c r="E6" s="103"/>
    </row>
    <row r="7" spans="1:5">
      <c r="A7" s="108" t="s">
        <v>201</v>
      </c>
      <c r="B7" s="109">
        <v>1711212298699</v>
      </c>
      <c r="C7" s="110">
        <v>1586809823252</v>
      </c>
      <c r="D7" s="103"/>
      <c r="E7" s="103"/>
    </row>
    <row r="8" spans="1:5">
      <c r="A8" s="108" t="s">
        <v>202</v>
      </c>
      <c r="B8" s="109">
        <v>375229352231</v>
      </c>
      <c r="C8" s="110">
        <v>232032424388</v>
      </c>
      <c r="D8" s="103"/>
      <c r="E8" s="103"/>
    </row>
    <row r="9" spans="1:5">
      <c r="A9" s="108" t="s">
        <v>203</v>
      </c>
      <c r="B9" s="109">
        <v>543858170822</v>
      </c>
      <c r="C9" s="110">
        <v>521046723030</v>
      </c>
      <c r="D9" s="103"/>
      <c r="E9" s="103"/>
    </row>
    <row r="10" spans="1:5">
      <c r="A10" s="108" t="s">
        <v>204</v>
      </c>
      <c r="B10" s="109">
        <v>694348122344</v>
      </c>
      <c r="C10" s="110">
        <v>735481062571</v>
      </c>
      <c r="D10" s="103"/>
      <c r="E10" s="103"/>
    </row>
    <row r="11" spans="1:5">
      <c r="A11" s="108" t="s">
        <v>205</v>
      </c>
      <c r="B11" s="109">
        <v>6512731392</v>
      </c>
      <c r="C11" s="110">
        <v>7133991707</v>
      </c>
      <c r="D11" s="103"/>
      <c r="E11" s="103"/>
    </row>
    <row r="12" spans="1:5">
      <c r="A12" s="108" t="s">
        <v>268</v>
      </c>
      <c r="B12" s="109">
        <v>7323748896</v>
      </c>
      <c r="C12" s="110">
        <v>7027759165</v>
      </c>
      <c r="D12" s="103"/>
      <c r="E12" s="103"/>
    </row>
    <row r="13" spans="1:5">
      <c r="A13" s="108" t="s">
        <v>207</v>
      </c>
      <c r="B13" s="109">
        <v>12312469144</v>
      </c>
      <c r="C13" s="110">
        <v>13090454980</v>
      </c>
      <c r="D13" s="103"/>
      <c r="E13" s="103"/>
    </row>
    <row r="14" spans="1:5">
      <c r="A14" s="108" t="s">
        <v>208</v>
      </c>
      <c r="B14" s="109">
        <v>4576416420</v>
      </c>
      <c r="C14" s="110">
        <v>5266761574</v>
      </c>
      <c r="D14" s="103"/>
      <c r="E14" s="103"/>
    </row>
    <row r="15" spans="1:5">
      <c r="A15" s="108" t="s">
        <v>209</v>
      </c>
      <c r="B15" s="109">
        <v>1943310395</v>
      </c>
      <c r="C15" s="110">
        <v>692483335</v>
      </c>
      <c r="D15" s="103"/>
      <c r="E15" s="103"/>
    </row>
    <row r="16" spans="1:5">
      <c r="A16" s="108" t="s">
        <v>210</v>
      </c>
      <c r="B16" s="109">
        <v>65107977055</v>
      </c>
      <c r="C16" s="110">
        <v>65038162502</v>
      </c>
      <c r="D16" s="103"/>
      <c r="E16" s="103"/>
    </row>
    <row r="17" spans="1:5">
      <c r="A17" s="108" t="s">
        <v>211</v>
      </c>
      <c r="B17" s="109">
        <v>2257787521456</v>
      </c>
      <c r="C17" s="110">
        <v>2183439305209</v>
      </c>
      <c r="D17" s="103"/>
      <c r="E17" s="103"/>
    </row>
    <row r="18" spans="1:5">
      <c r="A18" s="108" t="s">
        <v>212</v>
      </c>
      <c r="B18" s="109">
        <v>22483133318</v>
      </c>
      <c r="C18" s="110">
        <v>21152138991</v>
      </c>
      <c r="D18" s="103"/>
      <c r="E18" s="103"/>
    </row>
    <row r="19" spans="1:5">
      <c r="A19" s="108" t="s">
        <v>213</v>
      </c>
      <c r="B19" s="109">
        <v>22744220419</v>
      </c>
      <c r="C19" s="110">
        <v>23581763662</v>
      </c>
      <c r="D19" s="103"/>
      <c r="E19" s="103"/>
    </row>
    <row r="20" spans="1:5">
      <c r="A20" s="108" t="s">
        <v>214</v>
      </c>
      <c r="B20" s="109">
        <v>437083369042</v>
      </c>
      <c r="C20" s="110">
        <v>439052048066</v>
      </c>
      <c r="D20" s="103"/>
      <c r="E20" s="103"/>
    </row>
    <row r="21" spans="1:5">
      <c r="A21" s="108" t="s">
        <v>215</v>
      </c>
      <c r="B21" s="109">
        <v>1595844527699</v>
      </c>
      <c r="C21" s="110">
        <v>1547923372827</v>
      </c>
      <c r="D21" s="103"/>
      <c r="E21" s="103"/>
    </row>
    <row r="22" spans="1:5">
      <c r="A22" s="108" t="s">
        <v>216</v>
      </c>
      <c r="B22" s="109">
        <v>78661910563</v>
      </c>
      <c r="C22" s="110">
        <v>66210958086</v>
      </c>
      <c r="D22" s="103"/>
      <c r="E22" s="103"/>
    </row>
    <row r="23" spans="1:5">
      <c r="A23" s="108" t="s">
        <v>217</v>
      </c>
      <c r="B23" s="109">
        <v>3437900000</v>
      </c>
      <c r="C23" s="110">
        <v>3437900000</v>
      </c>
      <c r="D23" s="103"/>
      <c r="E23" s="103"/>
    </row>
    <row r="24" spans="1:5">
      <c r="A24" s="108" t="s">
        <v>218</v>
      </c>
      <c r="B24" s="109">
        <v>1109027756</v>
      </c>
      <c r="C24" s="110">
        <v>1284246811</v>
      </c>
      <c r="D24" s="103"/>
      <c r="E24" s="103"/>
    </row>
    <row r="25" spans="1:5">
      <c r="A25" s="108" t="s">
        <v>219</v>
      </c>
      <c r="B25" s="109">
        <v>89990929404</v>
      </c>
      <c r="C25" s="110">
        <v>74558115739</v>
      </c>
      <c r="D25" s="103"/>
      <c r="E25" s="103"/>
    </row>
    <row r="26" spans="1:5">
      <c r="A26" s="108" t="s">
        <v>220</v>
      </c>
      <c r="B26" s="109">
        <v>6432503255</v>
      </c>
      <c r="C26" s="110">
        <v>6238761027</v>
      </c>
      <c r="D26" s="103"/>
      <c r="E26" s="103"/>
    </row>
    <row r="27" spans="1:5">
      <c r="A27" s="108" t="s">
        <v>221</v>
      </c>
      <c r="B27" s="109">
        <v>3968999820155</v>
      </c>
      <c r="C27" s="110">
        <v>3770249128461</v>
      </c>
      <c r="D27" s="103"/>
      <c r="E27" s="103"/>
    </row>
    <row r="28" spans="1:5">
      <c r="A28" s="108" t="s">
        <v>222</v>
      </c>
      <c r="B28" s="111"/>
      <c r="C28" s="112"/>
      <c r="D28" s="103"/>
      <c r="E28" s="103"/>
    </row>
    <row r="29" spans="1:5">
      <c r="A29" s="108" t="s">
        <v>223</v>
      </c>
      <c r="B29" s="109">
        <v>986094222948</v>
      </c>
      <c r="C29" s="110">
        <v>867356008900</v>
      </c>
      <c r="D29" s="103"/>
      <c r="E29" s="103"/>
    </row>
    <row r="30" spans="1:5">
      <c r="A30" s="108" t="s">
        <v>224</v>
      </c>
      <c r="B30" s="109">
        <v>366024828938</v>
      </c>
      <c r="C30" s="110">
        <v>413004383530</v>
      </c>
      <c r="D30" s="103"/>
      <c r="E30" s="103"/>
    </row>
    <row r="31" spans="1:5">
      <c r="A31" s="108" t="s">
        <v>225</v>
      </c>
      <c r="B31" s="109">
        <v>492896787530</v>
      </c>
      <c r="C31" s="110">
        <v>236394330219</v>
      </c>
      <c r="D31" s="103"/>
      <c r="E31" s="103"/>
    </row>
    <row r="32" spans="1:5">
      <c r="A32" s="108" t="s">
        <v>255</v>
      </c>
      <c r="B32" s="111"/>
      <c r="C32" s="110">
        <v>63568318209</v>
      </c>
      <c r="D32" s="103"/>
      <c r="E32" s="103"/>
    </row>
    <row r="33" spans="1:5">
      <c r="A33" s="108" t="s">
        <v>226</v>
      </c>
      <c r="B33" s="109">
        <v>30648197832</v>
      </c>
      <c r="C33" s="110">
        <v>28841201387</v>
      </c>
      <c r="D33" s="103"/>
      <c r="E33" s="103"/>
    </row>
    <row r="34" spans="1:5">
      <c r="A34" s="108" t="s">
        <v>227</v>
      </c>
      <c r="B34" s="109">
        <v>6066552359</v>
      </c>
      <c r="C34" s="110">
        <v>5120776887</v>
      </c>
      <c r="D34" s="103"/>
      <c r="E34" s="103"/>
    </row>
    <row r="35" spans="1:5">
      <c r="A35" s="108" t="s">
        <v>228</v>
      </c>
      <c r="B35" s="109">
        <v>534319188</v>
      </c>
      <c r="C35" s="110">
        <v>6574668133</v>
      </c>
      <c r="D35" s="103"/>
      <c r="E35" s="103"/>
    </row>
    <row r="36" spans="1:5">
      <c r="A36" s="108" t="s">
        <v>229</v>
      </c>
      <c r="B36" s="109">
        <v>27428858552</v>
      </c>
      <c r="C36" s="110">
        <v>21742332869</v>
      </c>
      <c r="D36" s="103"/>
      <c r="E36" s="103"/>
    </row>
    <row r="37" spans="1:5">
      <c r="A37" s="108" t="s">
        <v>230</v>
      </c>
      <c r="B37" s="109">
        <v>32090482735</v>
      </c>
      <c r="C37" s="110">
        <v>32400303811</v>
      </c>
      <c r="D37" s="103"/>
      <c r="E37" s="103"/>
    </row>
    <row r="38" spans="1:5">
      <c r="A38" s="108" t="s">
        <v>231</v>
      </c>
      <c r="B38" s="109">
        <v>30404195814</v>
      </c>
      <c r="C38" s="110">
        <v>59709693855</v>
      </c>
      <c r="D38" s="103"/>
      <c r="E38" s="103"/>
    </row>
    <row r="39" spans="1:5">
      <c r="A39" s="108" t="s">
        <v>232</v>
      </c>
      <c r="B39" s="109">
        <v>1084223847560</v>
      </c>
      <c r="C39" s="110">
        <v>1101949501736</v>
      </c>
      <c r="D39" s="103"/>
      <c r="E39" s="103"/>
    </row>
    <row r="40" spans="1:5">
      <c r="A40" s="108" t="s">
        <v>233</v>
      </c>
      <c r="B40" s="109">
        <v>13384428155</v>
      </c>
      <c r="C40" s="110">
        <v>13655988563</v>
      </c>
      <c r="D40" s="103"/>
      <c r="E40" s="103"/>
    </row>
    <row r="41" spans="1:5">
      <c r="A41" s="108" t="s">
        <v>234</v>
      </c>
      <c r="B41" s="109">
        <v>555580691435</v>
      </c>
      <c r="C41" s="110">
        <v>611690244829</v>
      </c>
      <c r="D41" s="103"/>
      <c r="E41" s="103"/>
    </row>
    <row r="42" spans="1:5">
      <c r="A42" s="108" t="s">
        <v>236</v>
      </c>
      <c r="B42" s="109">
        <v>110515931419</v>
      </c>
      <c r="C42" s="110">
        <v>117220949035</v>
      </c>
      <c r="D42" s="103"/>
      <c r="E42" s="103"/>
    </row>
    <row r="43" spans="1:5">
      <c r="A43" s="108" t="s">
        <v>237</v>
      </c>
      <c r="B43" s="109">
        <v>356681143</v>
      </c>
      <c r="C43" s="110">
        <v>1046122086</v>
      </c>
      <c r="D43" s="103"/>
      <c r="E43" s="103"/>
    </row>
    <row r="44" spans="1:5">
      <c r="A44" s="108" t="s">
        <v>238</v>
      </c>
      <c r="B44" s="109">
        <v>159960047823</v>
      </c>
      <c r="C44" s="110">
        <v>147455572322</v>
      </c>
      <c r="D44" s="103"/>
      <c r="E44" s="103"/>
    </row>
    <row r="45" spans="1:5">
      <c r="A45" s="108" t="s">
        <v>239</v>
      </c>
      <c r="B45" s="109">
        <v>217755484480</v>
      </c>
      <c r="C45" s="110">
        <v>187117025264</v>
      </c>
      <c r="D45" s="103"/>
      <c r="E45" s="103"/>
    </row>
    <row r="46" spans="1:5">
      <c r="A46" s="108" t="s">
        <v>240</v>
      </c>
      <c r="B46" s="109">
        <v>16906301460</v>
      </c>
      <c r="C46" s="110">
        <v>12589522390</v>
      </c>
      <c r="D46" s="103"/>
      <c r="E46" s="103"/>
    </row>
    <row r="47" spans="1:5">
      <c r="A47" s="108" t="s">
        <v>241</v>
      </c>
      <c r="B47" s="109">
        <v>9222841645</v>
      </c>
      <c r="C47" s="110">
        <v>10632637247</v>
      </c>
      <c r="D47" s="103"/>
      <c r="E47" s="103"/>
    </row>
    <row r="48" spans="1:5">
      <c r="A48" s="108" t="s">
        <v>256</v>
      </c>
      <c r="B48" s="109">
        <v>541440000</v>
      </c>
      <c r="C48" s="110">
        <v>541440000</v>
      </c>
      <c r="D48" s="103"/>
      <c r="E48" s="103"/>
    </row>
    <row r="49" spans="1:5">
      <c r="A49" s="108" t="s">
        <v>242</v>
      </c>
      <c r="B49" s="109">
        <v>2070318070508</v>
      </c>
      <c r="C49" s="110">
        <v>1969305510636</v>
      </c>
      <c r="D49" s="103"/>
      <c r="E49" s="103"/>
    </row>
    <row r="50" spans="1:5">
      <c r="A50" s="108" t="s">
        <v>243</v>
      </c>
      <c r="B50" s="111"/>
      <c r="C50" s="112"/>
      <c r="D50" s="103"/>
      <c r="E50" s="103"/>
    </row>
    <row r="51" spans="1:5">
      <c r="A51" s="108" t="s">
        <v>244</v>
      </c>
      <c r="B51" s="109">
        <v>1326109984424</v>
      </c>
      <c r="C51" s="110">
        <v>1249653574381</v>
      </c>
      <c r="D51" s="103"/>
      <c r="E51" s="103"/>
    </row>
    <row r="52" spans="1:5">
      <c r="A52" s="108" t="s">
        <v>245</v>
      </c>
      <c r="B52" s="109">
        <v>61115070000</v>
      </c>
      <c r="C52" s="110">
        <v>61115070000</v>
      </c>
      <c r="D52" s="103"/>
      <c r="E52" s="103"/>
    </row>
    <row r="53" spans="1:5">
      <c r="A53" s="108" t="s">
        <v>246</v>
      </c>
      <c r="B53" s="109">
        <v>117766679366</v>
      </c>
      <c r="C53" s="110">
        <v>117766679366</v>
      </c>
      <c r="D53" s="103"/>
      <c r="E53" s="103"/>
    </row>
    <row r="54" spans="1:5">
      <c r="A54" s="108" t="s">
        <v>247</v>
      </c>
      <c r="B54" s="109">
        <v>-36594340461</v>
      </c>
      <c r="C54" s="110">
        <v>-34296293023</v>
      </c>
      <c r="D54" s="103"/>
      <c r="E54" s="103"/>
    </row>
    <row r="55" spans="1:5">
      <c r="A55" s="108" t="s">
        <v>248</v>
      </c>
      <c r="B55" s="109">
        <v>61953016523</v>
      </c>
      <c r="C55" s="110">
        <v>25053811764</v>
      </c>
      <c r="D55" s="103"/>
      <c r="E55" s="103"/>
    </row>
    <row r="56" spans="1:5">
      <c r="A56" s="108" t="s">
        <v>249</v>
      </c>
      <c r="B56" s="109">
        <v>1121869558996</v>
      </c>
      <c r="C56" s="110">
        <v>1080014306274</v>
      </c>
      <c r="D56" s="103"/>
      <c r="E56" s="103"/>
    </row>
    <row r="57" spans="1:5">
      <c r="A57" s="108" t="s">
        <v>157</v>
      </c>
      <c r="B57" s="109">
        <v>572571765223</v>
      </c>
      <c r="C57" s="110">
        <v>551290043444</v>
      </c>
      <c r="D57" s="103"/>
      <c r="E57" s="103"/>
    </row>
    <row r="58" spans="1:5">
      <c r="A58" s="108" t="s">
        <v>250</v>
      </c>
      <c r="B58" s="109">
        <v>1898681749647</v>
      </c>
      <c r="C58" s="110">
        <v>1800943617825</v>
      </c>
      <c r="D58" s="103"/>
      <c r="E58" s="103"/>
    </row>
    <row r="59" spans="1:5">
      <c r="A59" s="113" t="s">
        <v>251</v>
      </c>
      <c r="B59" s="114">
        <v>3968999820155</v>
      </c>
      <c r="C59" s="123">
        <v>3770249128461</v>
      </c>
      <c r="D59" s="103"/>
      <c r="E59" s="103"/>
    </row>
    <row r="60" spans="1:5">
      <c r="A60" s="133"/>
      <c r="B60" s="103"/>
      <c r="C60" s="103"/>
      <c r="D60" s="103"/>
      <c r="E60" s="103"/>
    </row>
    <row r="61" spans="1:5">
      <c r="A61" s="102" t="s">
        <v>122</v>
      </c>
      <c r="B61" s="103"/>
      <c r="C61" s="103"/>
      <c r="D61" s="103"/>
      <c r="E61" s="103"/>
    </row>
    <row r="62" spans="1:5">
      <c r="A62" s="104" t="s">
        <v>275</v>
      </c>
      <c r="B62" s="103"/>
      <c r="C62" s="103"/>
      <c r="D62" s="103"/>
      <c r="E62" s="103"/>
    </row>
    <row r="63" spans="1:5">
      <c r="A63" s="104" t="s">
        <v>165</v>
      </c>
      <c r="B63" s="103"/>
      <c r="C63" s="103"/>
      <c r="D63" s="103"/>
      <c r="E63" s="103"/>
    </row>
    <row r="64" spans="1:5">
      <c r="A64" s="105" t="s">
        <v>125</v>
      </c>
      <c r="B64" s="103"/>
      <c r="C64" s="103"/>
      <c r="D64" s="103"/>
      <c r="E64" s="103"/>
    </row>
    <row r="65" spans="1:5">
      <c r="A65" s="488"/>
      <c r="B65" s="490" t="s">
        <v>276</v>
      </c>
      <c r="C65" s="491"/>
      <c r="D65" s="490" t="s">
        <v>167</v>
      </c>
      <c r="E65" s="492"/>
    </row>
    <row r="66" spans="1:5">
      <c r="A66" s="489"/>
      <c r="B66" s="106" t="s">
        <v>128</v>
      </c>
      <c r="C66" s="106" t="s">
        <v>129</v>
      </c>
      <c r="D66" s="106" t="s">
        <v>128</v>
      </c>
      <c r="E66" s="107" t="s">
        <v>129</v>
      </c>
    </row>
    <row r="67" spans="1:5">
      <c r="A67" s="108" t="s">
        <v>271</v>
      </c>
      <c r="B67" s="109">
        <v>625011276872</v>
      </c>
      <c r="C67" s="109">
        <v>1414912212764</v>
      </c>
      <c r="D67" s="109">
        <v>959302647242</v>
      </c>
      <c r="E67" s="110">
        <v>1793878882886</v>
      </c>
    </row>
    <row r="68" spans="1:5">
      <c r="A68" s="108" t="s">
        <v>131</v>
      </c>
      <c r="B68" s="109">
        <v>298441933405</v>
      </c>
      <c r="C68" s="109">
        <v>706643664505</v>
      </c>
      <c r="D68" s="109">
        <v>459305164983</v>
      </c>
      <c r="E68" s="110">
        <v>876162497854</v>
      </c>
    </row>
    <row r="69" spans="1:5">
      <c r="A69" s="108" t="s">
        <v>132</v>
      </c>
      <c r="B69" s="109">
        <v>326569343467</v>
      </c>
      <c r="C69" s="109">
        <v>708268548259</v>
      </c>
      <c r="D69" s="109">
        <v>499997482259</v>
      </c>
      <c r="E69" s="110">
        <v>917716385032</v>
      </c>
    </row>
    <row r="70" spans="1:5">
      <c r="A70" s="108" t="s">
        <v>133</v>
      </c>
      <c r="B70" s="109">
        <v>276288665272</v>
      </c>
      <c r="C70" s="109">
        <v>590845653989</v>
      </c>
      <c r="D70" s="109">
        <v>355125104996</v>
      </c>
      <c r="E70" s="110">
        <v>656994030791</v>
      </c>
    </row>
    <row r="71" spans="1:5">
      <c r="A71" s="108" t="s">
        <v>134</v>
      </c>
      <c r="B71" s="109">
        <v>50280678195</v>
      </c>
      <c r="C71" s="109">
        <v>117422894270</v>
      </c>
      <c r="D71" s="109">
        <v>144872377263</v>
      </c>
      <c r="E71" s="110">
        <v>260722354241</v>
      </c>
    </row>
    <row r="72" spans="1:5">
      <c r="A72" s="108" t="s">
        <v>135</v>
      </c>
      <c r="B72" s="109">
        <v>1047354908</v>
      </c>
      <c r="C72" s="109">
        <v>1960112266</v>
      </c>
      <c r="D72" s="109">
        <v>1120295367</v>
      </c>
      <c r="E72" s="110">
        <v>4224526326</v>
      </c>
    </row>
    <row r="73" spans="1:5">
      <c r="A73" s="108" t="s">
        <v>136</v>
      </c>
      <c r="B73" s="109">
        <v>1320796389</v>
      </c>
      <c r="C73" s="109">
        <v>4323085460</v>
      </c>
      <c r="D73" s="109">
        <v>2673468146</v>
      </c>
      <c r="E73" s="110">
        <v>3585580619</v>
      </c>
    </row>
    <row r="74" spans="1:5">
      <c r="A74" s="108" t="s">
        <v>138</v>
      </c>
      <c r="B74" s="109">
        <v>1217373558</v>
      </c>
      <c r="C74" s="109">
        <v>18533173171</v>
      </c>
      <c r="D74" s="109">
        <v>9242403893</v>
      </c>
      <c r="E74" s="110">
        <v>14906068504</v>
      </c>
    </row>
    <row r="75" spans="1:5">
      <c r="A75" s="108" t="s">
        <v>139</v>
      </c>
      <c r="B75" s="109">
        <v>9908209307</v>
      </c>
      <c r="C75" s="109">
        <v>41637263802</v>
      </c>
      <c r="D75" s="109">
        <v>23365910767</v>
      </c>
      <c r="E75" s="110">
        <v>44045143679</v>
      </c>
    </row>
    <row r="76" spans="1:5">
      <c r="A76" s="108" t="s">
        <v>140</v>
      </c>
      <c r="B76" s="109">
        <v>11843512951</v>
      </c>
      <c r="C76" s="109">
        <v>18734513089</v>
      </c>
      <c r="D76" s="109">
        <v>9861280561</v>
      </c>
      <c r="E76" s="110">
        <v>16205831697</v>
      </c>
    </row>
    <row r="77" spans="1:5">
      <c r="A77" s="108" t="s">
        <v>141</v>
      </c>
      <c r="B77" s="109">
        <v>53159913916</v>
      </c>
      <c r="C77" s="109">
        <v>110690343534</v>
      </c>
      <c r="D77" s="109">
        <v>139056978171</v>
      </c>
      <c r="E77" s="110">
        <v>248428056470</v>
      </c>
    </row>
    <row r="78" spans="1:5">
      <c r="A78" s="108" t="s">
        <v>142</v>
      </c>
      <c r="B78" s="109">
        <v>7639660088</v>
      </c>
      <c r="C78" s="109">
        <v>25669946551</v>
      </c>
      <c r="D78" s="109">
        <v>47085159592</v>
      </c>
      <c r="E78" s="110">
        <v>60246188099</v>
      </c>
    </row>
    <row r="79" spans="1:5">
      <c r="A79" s="108" t="s">
        <v>143</v>
      </c>
      <c r="B79" s="109">
        <v>45520253828</v>
      </c>
      <c r="C79" s="109">
        <v>85020396983</v>
      </c>
      <c r="D79" s="109">
        <v>91971818579</v>
      </c>
      <c r="E79" s="110">
        <v>188181868371</v>
      </c>
    </row>
    <row r="80" spans="1:5">
      <c r="A80" s="108" t="s">
        <v>144</v>
      </c>
      <c r="B80" s="111"/>
      <c r="C80" s="111"/>
      <c r="D80" s="111"/>
      <c r="E80" s="112"/>
    </row>
    <row r="81" spans="1:5">
      <c r="A81" s="108" t="s">
        <v>145</v>
      </c>
      <c r="B81" s="111"/>
      <c r="C81" s="111"/>
      <c r="D81" s="111"/>
      <c r="E81" s="112"/>
    </row>
    <row r="82" spans="1:5">
      <c r="A82" s="108" t="s">
        <v>146</v>
      </c>
      <c r="B82" s="109">
        <v>638783471</v>
      </c>
      <c r="C82" s="109">
        <v>2464082606</v>
      </c>
      <c r="D82" s="109">
        <v>1677337421</v>
      </c>
      <c r="E82" s="110">
        <v>2984311646</v>
      </c>
    </row>
    <row r="83" spans="1:5">
      <c r="A83" s="108" t="s">
        <v>147</v>
      </c>
      <c r="B83" s="111"/>
      <c r="C83" s="111"/>
      <c r="D83" s="111"/>
      <c r="E83" s="112"/>
    </row>
    <row r="84" spans="1:5">
      <c r="A84" s="108" t="s">
        <v>148</v>
      </c>
      <c r="B84" s="109">
        <v>298793794</v>
      </c>
      <c r="C84" s="109">
        <v>-1077107810</v>
      </c>
      <c r="D84" s="109">
        <v>-1125101193</v>
      </c>
      <c r="E84" s="110">
        <v>-299834899</v>
      </c>
    </row>
    <row r="85" spans="1:5">
      <c r="A85" s="108" t="s">
        <v>149</v>
      </c>
      <c r="B85" s="109">
        <v>-7636404507</v>
      </c>
      <c r="C85" s="109">
        <v>59515933017</v>
      </c>
      <c r="D85" s="109">
        <v>28922069725</v>
      </c>
      <c r="E85" s="110">
        <v>47919944759</v>
      </c>
    </row>
    <row r="86" spans="1:5">
      <c r="A86" s="108" t="s">
        <v>150</v>
      </c>
      <c r="B86" s="109">
        <v>-3499720675</v>
      </c>
      <c r="C86" s="109">
        <v>649417899</v>
      </c>
      <c r="D86" s="109">
        <v>-3876933709</v>
      </c>
      <c r="E86" s="110">
        <v>-3985454857</v>
      </c>
    </row>
    <row r="87" spans="1:5">
      <c r="A87" s="108" t="s">
        <v>151</v>
      </c>
      <c r="B87" s="109">
        <v>-10198547917</v>
      </c>
      <c r="C87" s="109">
        <v>61552325712</v>
      </c>
      <c r="D87" s="109">
        <v>25597372244</v>
      </c>
      <c r="E87" s="110">
        <v>46618966649</v>
      </c>
    </row>
    <row r="88" spans="1:5">
      <c r="A88" s="108" t="s">
        <v>152</v>
      </c>
      <c r="B88" s="109">
        <v>35321705911</v>
      </c>
      <c r="C88" s="109">
        <v>146572722695</v>
      </c>
      <c r="D88" s="109">
        <v>117569190823</v>
      </c>
      <c r="E88" s="110">
        <v>234800835020</v>
      </c>
    </row>
    <row r="89" spans="1:5">
      <c r="A89" s="108" t="s">
        <v>153</v>
      </c>
      <c r="B89" s="111"/>
      <c r="C89" s="111"/>
      <c r="D89" s="111"/>
      <c r="E89" s="112"/>
    </row>
    <row r="90" spans="1:5">
      <c r="A90" s="108" t="s">
        <v>154</v>
      </c>
      <c r="B90" s="109">
        <v>39917923933</v>
      </c>
      <c r="C90" s="109">
        <v>73531287987</v>
      </c>
      <c r="D90" s="109">
        <v>68474641893</v>
      </c>
      <c r="E90" s="110">
        <v>138753009660</v>
      </c>
    </row>
    <row r="91" spans="1:5">
      <c r="A91" s="108" t="s">
        <v>155</v>
      </c>
      <c r="B91" s="109">
        <v>5602329895</v>
      </c>
      <c r="C91" s="109">
        <v>11489108996</v>
      </c>
      <c r="D91" s="109">
        <v>23497176686</v>
      </c>
      <c r="E91" s="110">
        <v>49428858711</v>
      </c>
    </row>
    <row r="92" spans="1:5">
      <c r="A92" s="108" t="s">
        <v>156</v>
      </c>
      <c r="B92" s="111"/>
      <c r="C92" s="111"/>
      <c r="D92" s="111"/>
      <c r="E92" s="112"/>
    </row>
    <row r="93" spans="1:5">
      <c r="A93" s="108" t="s">
        <v>154</v>
      </c>
      <c r="B93" s="109">
        <v>27429697751</v>
      </c>
      <c r="C93" s="109">
        <v>112220790343</v>
      </c>
      <c r="D93" s="109">
        <v>95051666852</v>
      </c>
      <c r="E93" s="110">
        <v>182567233973</v>
      </c>
    </row>
    <row r="94" spans="1:5">
      <c r="A94" s="108" t="s">
        <v>157</v>
      </c>
      <c r="B94" s="109">
        <v>7892008160</v>
      </c>
      <c r="C94" s="109">
        <v>34351932352</v>
      </c>
      <c r="D94" s="109">
        <v>22517523971</v>
      </c>
      <c r="E94" s="110">
        <v>52233601047</v>
      </c>
    </row>
    <row r="95" spans="1:5">
      <c r="A95" s="108" t="s">
        <v>158</v>
      </c>
      <c r="B95" s="111"/>
      <c r="C95" s="111"/>
      <c r="D95" s="111"/>
      <c r="E95" s="112"/>
    </row>
    <row r="96" spans="1:5">
      <c r="A96" s="108" t="s">
        <v>159</v>
      </c>
      <c r="B96" s="111">
        <v>659</v>
      </c>
      <c r="C96" s="109">
        <v>1215</v>
      </c>
      <c r="D96" s="109">
        <v>1120</v>
      </c>
      <c r="E96" s="110">
        <v>2270</v>
      </c>
    </row>
    <row r="97" spans="1:5">
      <c r="A97" s="113" t="s">
        <v>160</v>
      </c>
      <c r="B97" s="115">
        <v>659</v>
      </c>
      <c r="C97" s="114">
        <v>1215</v>
      </c>
      <c r="D97" s="114">
        <v>1120</v>
      </c>
      <c r="E97" s="123">
        <v>2270</v>
      </c>
    </row>
    <row r="99" spans="1:5">
      <c r="B99">
        <f>B90/B96</f>
        <v>60573480.930197269</v>
      </c>
    </row>
  </sheetData>
  <mergeCells count="3">
    <mergeCell ref="A65:A66"/>
    <mergeCell ref="B65:C65"/>
    <mergeCell ref="D65:E65"/>
  </mergeCells>
  <phoneticPr fontId="3"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99"/>
  <sheetViews>
    <sheetView topLeftCell="A22" zoomScale="85" zoomScaleNormal="85" workbookViewId="0">
      <selection activeCell="A55" sqref="A55:B55"/>
    </sheetView>
  </sheetViews>
  <sheetFormatPr defaultRowHeight="16.5"/>
  <cols>
    <col min="1" max="1" width="51.875" style="103" customWidth="1"/>
    <col min="2" max="3" width="17.75" style="103" bestFit="1" customWidth="1"/>
    <col min="4" max="4" width="16" style="103" bestFit="1" customWidth="1"/>
    <col min="5" max="5" width="17.75" style="103" bestFit="1" customWidth="1"/>
    <col min="6" max="16384" width="9" style="103"/>
  </cols>
  <sheetData>
    <row r="1" spans="1:3">
      <c r="A1" s="102" t="s">
        <v>195</v>
      </c>
    </row>
    <row r="2" spans="1:3">
      <c r="A2" s="104" t="s">
        <v>277</v>
      </c>
    </row>
    <row r="3" spans="1:3">
      <c r="A3" s="104" t="s">
        <v>265</v>
      </c>
    </row>
    <row r="4" spans="1:3">
      <c r="A4" s="105" t="s">
        <v>125</v>
      </c>
    </row>
    <row r="5" spans="1:3">
      <c r="A5" s="127"/>
      <c r="B5" s="128" t="s">
        <v>278</v>
      </c>
      <c r="C5" s="129" t="s">
        <v>267</v>
      </c>
    </row>
    <row r="6" spans="1:3">
      <c r="A6" s="108" t="s">
        <v>200</v>
      </c>
      <c r="B6" s="111"/>
      <c r="C6" s="112"/>
    </row>
    <row r="7" spans="1:3">
      <c r="A7" s="108" t="s">
        <v>201</v>
      </c>
      <c r="B7" s="109">
        <v>1704236124335</v>
      </c>
      <c r="C7" s="110">
        <v>1586809823252</v>
      </c>
    </row>
    <row r="8" spans="1:3">
      <c r="A8" s="108" t="s">
        <v>202</v>
      </c>
      <c r="B8" s="109">
        <v>390990560435</v>
      </c>
      <c r="C8" s="110">
        <v>232032424388</v>
      </c>
    </row>
    <row r="9" spans="1:3">
      <c r="A9" s="108" t="s">
        <v>203</v>
      </c>
      <c r="B9" s="109">
        <v>605405814337</v>
      </c>
      <c r="C9" s="110">
        <v>521046723030</v>
      </c>
    </row>
    <row r="10" spans="1:3">
      <c r="A10" s="108" t="s">
        <v>204</v>
      </c>
      <c r="B10" s="109">
        <v>610809662885</v>
      </c>
      <c r="C10" s="110">
        <v>735481062571</v>
      </c>
    </row>
    <row r="11" spans="1:3">
      <c r="A11" s="108" t="s">
        <v>205</v>
      </c>
      <c r="B11" s="109">
        <v>5439881945</v>
      </c>
      <c r="C11" s="110">
        <v>7133991707</v>
      </c>
    </row>
    <row r="12" spans="1:3">
      <c r="A12" s="108" t="s">
        <v>268</v>
      </c>
      <c r="B12" s="109">
        <v>7400217738</v>
      </c>
      <c r="C12" s="110">
        <v>7027759165</v>
      </c>
    </row>
    <row r="13" spans="1:3">
      <c r="A13" s="108" t="s">
        <v>207</v>
      </c>
      <c r="B13" s="109">
        <v>17578943478</v>
      </c>
      <c r="C13" s="110">
        <v>13090454980</v>
      </c>
    </row>
    <row r="14" spans="1:3">
      <c r="A14" s="108" t="s">
        <v>208</v>
      </c>
      <c r="B14" s="109">
        <v>2601787973</v>
      </c>
      <c r="C14" s="110">
        <v>5266761574</v>
      </c>
    </row>
    <row r="15" spans="1:3">
      <c r="A15" s="108" t="s">
        <v>209</v>
      </c>
      <c r="B15" s="109">
        <v>2561883589</v>
      </c>
      <c r="C15" s="110">
        <v>692483335</v>
      </c>
    </row>
    <row r="16" spans="1:3">
      <c r="A16" s="108" t="s">
        <v>210</v>
      </c>
      <c r="B16" s="109">
        <v>61447371955</v>
      </c>
      <c r="C16" s="110">
        <v>65038162502</v>
      </c>
    </row>
    <row r="17" spans="1:3">
      <c r="A17" s="108" t="s">
        <v>211</v>
      </c>
      <c r="B17" s="109">
        <v>2196857572454</v>
      </c>
      <c r="C17" s="110">
        <v>2183439305209</v>
      </c>
    </row>
    <row r="18" spans="1:3">
      <c r="A18" s="108" t="s">
        <v>212</v>
      </c>
      <c r="B18" s="109">
        <v>22335371765</v>
      </c>
      <c r="C18" s="110">
        <v>21152138991</v>
      </c>
    </row>
    <row r="19" spans="1:3">
      <c r="A19" s="108" t="s">
        <v>213</v>
      </c>
      <c r="B19" s="109">
        <v>22677492031</v>
      </c>
      <c r="C19" s="110">
        <v>23581763662</v>
      </c>
    </row>
    <row r="20" spans="1:3">
      <c r="A20" s="108" t="s">
        <v>214</v>
      </c>
      <c r="B20" s="109">
        <v>418512157602</v>
      </c>
      <c r="C20" s="110">
        <v>439052048066</v>
      </c>
    </row>
    <row r="21" spans="1:3">
      <c r="A21" s="108" t="s">
        <v>215</v>
      </c>
      <c r="B21" s="109">
        <v>1561141674369</v>
      </c>
      <c r="C21" s="110">
        <v>1547923372827</v>
      </c>
    </row>
    <row r="22" spans="1:3">
      <c r="A22" s="108" t="s">
        <v>216</v>
      </c>
      <c r="B22" s="109">
        <v>88335730014</v>
      </c>
      <c r="C22" s="110">
        <v>66210958086</v>
      </c>
    </row>
    <row r="23" spans="1:3">
      <c r="A23" s="108" t="s">
        <v>217</v>
      </c>
      <c r="B23" s="109">
        <v>3437900000</v>
      </c>
      <c r="C23" s="110">
        <v>3437900000</v>
      </c>
    </row>
    <row r="24" spans="1:3">
      <c r="A24" s="108" t="s">
        <v>218</v>
      </c>
      <c r="B24" s="109">
        <v>215983849</v>
      </c>
      <c r="C24" s="110">
        <v>1284246811</v>
      </c>
    </row>
    <row r="25" spans="1:3">
      <c r="A25" s="108" t="s">
        <v>219</v>
      </c>
      <c r="B25" s="109">
        <v>70737015834</v>
      </c>
      <c r="C25" s="110">
        <v>74558115739</v>
      </c>
    </row>
    <row r="26" spans="1:3">
      <c r="A26" s="108" t="s">
        <v>220</v>
      </c>
      <c r="B26" s="109">
        <v>9464246990</v>
      </c>
      <c r="C26" s="110">
        <v>6238761027</v>
      </c>
    </row>
    <row r="27" spans="1:3">
      <c r="A27" s="108" t="s">
        <v>221</v>
      </c>
      <c r="B27" s="109">
        <v>3901093696789</v>
      </c>
      <c r="C27" s="110">
        <v>3770249128461</v>
      </c>
    </row>
    <row r="28" spans="1:3">
      <c r="A28" s="108" t="s">
        <v>222</v>
      </c>
      <c r="B28" s="111"/>
      <c r="C28" s="112"/>
    </row>
    <row r="29" spans="1:3">
      <c r="A29" s="108" t="s">
        <v>223</v>
      </c>
      <c r="B29" s="109">
        <v>912870618667</v>
      </c>
      <c r="C29" s="110">
        <v>867356008900</v>
      </c>
    </row>
    <row r="30" spans="1:3">
      <c r="A30" s="108" t="s">
        <v>224</v>
      </c>
      <c r="B30" s="109">
        <v>419487703526</v>
      </c>
      <c r="C30" s="110">
        <v>413004383530</v>
      </c>
    </row>
    <row r="31" spans="1:3">
      <c r="A31" s="108" t="s">
        <v>225</v>
      </c>
      <c r="B31" s="109">
        <v>366353650468</v>
      </c>
      <c r="C31" s="110">
        <v>236394330219</v>
      </c>
    </row>
    <row r="32" spans="1:3">
      <c r="A32" s="108" t="s">
        <v>255</v>
      </c>
      <c r="B32" s="111"/>
      <c r="C32" s="110">
        <v>63568318209</v>
      </c>
    </row>
    <row r="33" spans="1:3">
      <c r="A33" s="108" t="s">
        <v>226</v>
      </c>
      <c r="B33" s="109">
        <v>30308070789</v>
      </c>
      <c r="C33" s="110">
        <v>28841201387</v>
      </c>
    </row>
    <row r="34" spans="1:3">
      <c r="A34" s="108" t="s">
        <v>227</v>
      </c>
      <c r="B34" s="109">
        <v>5441483122</v>
      </c>
      <c r="C34" s="110">
        <v>5120776887</v>
      </c>
    </row>
    <row r="35" spans="1:3">
      <c r="A35" s="108" t="s">
        <v>228</v>
      </c>
      <c r="B35" s="109">
        <v>713400733</v>
      </c>
      <c r="C35" s="110">
        <v>6574668133</v>
      </c>
    </row>
    <row r="36" spans="1:3">
      <c r="A36" s="108" t="s">
        <v>229</v>
      </c>
      <c r="B36" s="109">
        <v>25907222751</v>
      </c>
      <c r="C36" s="110">
        <v>21742332869</v>
      </c>
    </row>
    <row r="37" spans="1:3">
      <c r="A37" s="108" t="s">
        <v>230</v>
      </c>
      <c r="B37" s="109">
        <v>37178027218</v>
      </c>
      <c r="C37" s="110">
        <v>32400303811</v>
      </c>
    </row>
    <row r="38" spans="1:3">
      <c r="A38" s="108" t="s">
        <v>231</v>
      </c>
      <c r="B38" s="109">
        <v>27481060060</v>
      </c>
      <c r="C38" s="110">
        <v>59709693855</v>
      </c>
    </row>
    <row r="39" spans="1:3">
      <c r="A39" s="108" t="s">
        <v>232</v>
      </c>
      <c r="B39" s="109">
        <v>1018230144175</v>
      </c>
      <c r="C39" s="110">
        <v>1101949501736</v>
      </c>
    </row>
    <row r="40" spans="1:3">
      <c r="A40" s="108" t="s">
        <v>233</v>
      </c>
      <c r="B40" s="109">
        <v>11837856849</v>
      </c>
      <c r="C40" s="110">
        <v>13655988563</v>
      </c>
    </row>
    <row r="41" spans="1:3">
      <c r="A41" s="108" t="s">
        <v>234</v>
      </c>
      <c r="B41" s="109">
        <v>520408579732</v>
      </c>
      <c r="C41" s="110">
        <v>611690244829</v>
      </c>
    </row>
    <row r="42" spans="1:3">
      <c r="A42" s="108" t="s">
        <v>236</v>
      </c>
      <c r="B42" s="109">
        <v>106134197946</v>
      </c>
      <c r="C42" s="110">
        <v>117220949035</v>
      </c>
    </row>
    <row r="43" spans="1:3">
      <c r="A43" s="108" t="s">
        <v>237</v>
      </c>
      <c r="B43" s="109">
        <v>710874616</v>
      </c>
      <c r="C43" s="110">
        <v>1046122086</v>
      </c>
    </row>
    <row r="44" spans="1:3">
      <c r="A44" s="108" t="s">
        <v>238</v>
      </c>
      <c r="B44" s="109">
        <v>140753098711</v>
      </c>
      <c r="C44" s="110">
        <v>147455572322</v>
      </c>
    </row>
    <row r="45" spans="1:3">
      <c r="A45" s="108" t="s">
        <v>239</v>
      </c>
      <c r="B45" s="109">
        <v>209642139415</v>
      </c>
      <c r="C45" s="110">
        <v>187117025264</v>
      </c>
    </row>
    <row r="46" spans="1:3">
      <c r="A46" s="108" t="s">
        <v>240</v>
      </c>
      <c r="B46" s="109">
        <v>18355256831</v>
      </c>
      <c r="C46" s="110">
        <v>12589522390</v>
      </c>
    </row>
    <row r="47" spans="1:3">
      <c r="A47" s="108" t="s">
        <v>241</v>
      </c>
      <c r="B47" s="109">
        <v>9846700075</v>
      </c>
      <c r="C47" s="110">
        <v>10632637247</v>
      </c>
    </row>
    <row r="48" spans="1:3">
      <c r="A48" s="108" t="s">
        <v>256</v>
      </c>
      <c r="B48" s="109">
        <v>541440000</v>
      </c>
      <c r="C48" s="110">
        <v>541440000</v>
      </c>
    </row>
    <row r="49" spans="1:3">
      <c r="A49" s="108" t="s">
        <v>242</v>
      </c>
      <c r="B49" s="109">
        <v>1931100762842</v>
      </c>
      <c r="C49" s="110">
        <v>1969305510636</v>
      </c>
    </row>
    <row r="50" spans="1:3">
      <c r="A50" s="108" t="s">
        <v>243</v>
      </c>
      <c r="B50" s="111"/>
      <c r="C50" s="112"/>
    </row>
    <row r="51" spans="1:3">
      <c r="A51" s="108" t="s">
        <v>244</v>
      </c>
      <c r="B51" s="109">
        <v>1377188300732</v>
      </c>
      <c r="C51" s="110">
        <v>1249653574381</v>
      </c>
    </row>
    <row r="52" spans="1:3">
      <c r="A52" s="108" t="s">
        <v>245</v>
      </c>
      <c r="B52" s="109">
        <v>61115070000</v>
      </c>
      <c r="C52" s="110">
        <v>61115070000</v>
      </c>
    </row>
    <row r="53" spans="1:3">
      <c r="A53" s="108" t="s">
        <v>246</v>
      </c>
      <c r="B53" s="109">
        <v>117766679366</v>
      </c>
      <c r="C53" s="110">
        <v>117766679366</v>
      </c>
    </row>
    <row r="54" spans="1:3">
      <c r="A54" s="108" t="s">
        <v>247</v>
      </c>
      <c r="B54" s="109">
        <v>-37758842829</v>
      </c>
      <c r="C54" s="110">
        <v>-34296293023</v>
      </c>
    </row>
    <row r="55" spans="1:3">
      <c r="A55" s="108" t="s">
        <v>248</v>
      </c>
      <c r="B55" s="109">
        <v>54665844021</v>
      </c>
      <c r="C55" s="110">
        <v>25053811764</v>
      </c>
    </row>
    <row r="56" spans="1:3">
      <c r="A56" s="108" t="s">
        <v>249</v>
      </c>
      <c r="B56" s="109">
        <v>1181399550174</v>
      </c>
      <c r="C56" s="110">
        <v>1080014306274</v>
      </c>
    </row>
    <row r="57" spans="1:3">
      <c r="A57" s="108" t="s">
        <v>157</v>
      </c>
      <c r="B57" s="109">
        <v>592804633215</v>
      </c>
      <c r="C57" s="110">
        <v>551290043444</v>
      </c>
    </row>
    <row r="58" spans="1:3">
      <c r="A58" s="108" t="s">
        <v>250</v>
      </c>
      <c r="B58" s="109">
        <v>1969992933947</v>
      </c>
      <c r="C58" s="110">
        <v>1800943617825</v>
      </c>
    </row>
    <row r="59" spans="1:3">
      <c r="A59" s="113" t="s">
        <v>251</v>
      </c>
      <c r="B59" s="114">
        <v>3901093696789</v>
      </c>
      <c r="C59" s="123">
        <v>3770249128461</v>
      </c>
    </row>
    <row r="60" spans="1:3">
      <c r="A60" s="133"/>
    </row>
    <row r="61" spans="1:3">
      <c r="A61" s="102" t="s">
        <v>122</v>
      </c>
    </row>
    <row r="62" spans="1:3">
      <c r="A62" s="104" t="s">
        <v>279</v>
      </c>
    </row>
    <row r="63" spans="1:3">
      <c r="A63" s="104" t="s">
        <v>177</v>
      </c>
    </row>
    <row r="64" spans="1:3">
      <c r="A64" s="105" t="s">
        <v>125</v>
      </c>
    </row>
    <row r="65" spans="1:5">
      <c r="A65" s="117"/>
      <c r="B65" s="118" t="s">
        <v>280</v>
      </c>
      <c r="C65" s="119"/>
      <c r="D65" s="118" t="s">
        <v>179</v>
      </c>
      <c r="E65" s="120"/>
    </row>
    <row r="66" spans="1:5">
      <c r="A66" s="121"/>
      <c r="B66" s="106" t="s">
        <v>128</v>
      </c>
      <c r="C66" s="106" t="s">
        <v>129</v>
      </c>
      <c r="D66" s="106" t="s">
        <v>128</v>
      </c>
      <c r="E66" s="107" t="s">
        <v>129</v>
      </c>
    </row>
    <row r="67" spans="1:5">
      <c r="A67" s="108" t="s">
        <v>271</v>
      </c>
      <c r="B67" s="109">
        <v>917431270432</v>
      </c>
      <c r="C67" s="109">
        <v>2332343483196</v>
      </c>
      <c r="D67" s="109">
        <v>866985948835</v>
      </c>
      <c r="E67" s="110">
        <v>2660864831721</v>
      </c>
    </row>
    <row r="68" spans="1:5">
      <c r="A68" s="108" t="s">
        <v>131</v>
      </c>
      <c r="B68" s="109">
        <v>471107489968</v>
      </c>
      <c r="C68" s="109">
        <v>1177751154473</v>
      </c>
      <c r="D68" s="109">
        <v>449611604115</v>
      </c>
      <c r="E68" s="110">
        <v>1325774101969</v>
      </c>
    </row>
    <row r="69" spans="1:5">
      <c r="A69" s="108" t="s">
        <v>132</v>
      </c>
      <c r="B69" s="109">
        <v>446323780464</v>
      </c>
      <c r="C69" s="109">
        <v>1154592328723</v>
      </c>
      <c r="D69" s="109">
        <v>417374344720</v>
      </c>
      <c r="E69" s="110">
        <v>1335090729752</v>
      </c>
    </row>
    <row r="70" spans="1:5">
      <c r="A70" s="108" t="s">
        <v>133</v>
      </c>
      <c r="B70" s="109">
        <v>290741252704</v>
      </c>
      <c r="C70" s="109">
        <v>881586906693</v>
      </c>
      <c r="D70" s="109">
        <v>292494052449</v>
      </c>
      <c r="E70" s="110">
        <v>949488083240</v>
      </c>
    </row>
    <row r="71" spans="1:5">
      <c r="A71" s="108" t="s">
        <v>134</v>
      </c>
      <c r="B71" s="109">
        <v>155582527760</v>
      </c>
      <c r="C71" s="109">
        <v>273005422030</v>
      </c>
      <c r="D71" s="109">
        <v>124880292271</v>
      </c>
      <c r="E71" s="110">
        <v>385602646512</v>
      </c>
    </row>
    <row r="72" spans="1:5">
      <c r="A72" s="108" t="s">
        <v>135</v>
      </c>
      <c r="B72" s="109">
        <v>636955766</v>
      </c>
      <c r="C72" s="109">
        <v>2597068032</v>
      </c>
      <c r="D72" s="109">
        <v>26799045185</v>
      </c>
      <c r="E72" s="110">
        <v>31023571511</v>
      </c>
    </row>
    <row r="73" spans="1:5">
      <c r="A73" s="108" t="s">
        <v>136</v>
      </c>
      <c r="B73" s="109">
        <v>500560647</v>
      </c>
      <c r="C73" s="109">
        <v>4823646107</v>
      </c>
      <c r="D73" s="109">
        <v>683273543</v>
      </c>
      <c r="E73" s="110">
        <v>4268854162</v>
      </c>
    </row>
    <row r="74" spans="1:5">
      <c r="A74" s="108" t="s">
        <v>138</v>
      </c>
      <c r="B74" s="109">
        <v>7685158709</v>
      </c>
      <c r="C74" s="109">
        <v>26218331880</v>
      </c>
      <c r="D74" s="109">
        <v>8320728866</v>
      </c>
      <c r="E74" s="110">
        <v>23226797370</v>
      </c>
    </row>
    <row r="75" spans="1:5">
      <c r="A75" s="108" t="s">
        <v>139</v>
      </c>
      <c r="B75" s="109">
        <v>12768228780</v>
      </c>
      <c r="C75" s="109">
        <v>54405492582</v>
      </c>
      <c r="D75" s="109">
        <v>22920805308</v>
      </c>
      <c r="E75" s="110">
        <v>66965948987</v>
      </c>
    </row>
    <row r="76" spans="1:5">
      <c r="A76" s="108" t="s">
        <v>140</v>
      </c>
      <c r="B76" s="109">
        <v>8629261239</v>
      </c>
      <c r="C76" s="109">
        <v>27363774328</v>
      </c>
      <c r="D76" s="109">
        <v>6271004940</v>
      </c>
      <c r="E76" s="110">
        <v>22476836637</v>
      </c>
    </row>
    <row r="77" spans="1:5">
      <c r="A77" s="108" t="s">
        <v>141</v>
      </c>
      <c r="B77" s="109">
        <v>159265114047</v>
      </c>
      <c r="C77" s="109">
        <v>269955457581</v>
      </c>
      <c r="D77" s="109">
        <v>142666992411</v>
      </c>
      <c r="E77" s="110">
        <v>391095048881</v>
      </c>
    </row>
    <row r="78" spans="1:5">
      <c r="A78" s="108" t="s">
        <v>142</v>
      </c>
      <c r="B78" s="109">
        <v>64150378633</v>
      </c>
      <c r="C78" s="109">
        <v>89820325184</v>
      </c>
      <c r="D78" s="109">
        <v>44216973888</v>
      </c>
      <c r="E78" s="110">
        <v>104463161987</v>
      </c>
    </row>
    <row r="79" spans="1:5">
      <c r="A79" s="108" t="s">
        <v>143</v>
      </c>
      <c r="B79" s="109">
        <v>95114735414</v>
      </c>
      <c r="C79" s="109">
        <v>180135132397</v>
      </c>
      <c r="D79" s="109">
        <v>98450018523</v>
      </c>
      <c r="E79" s="110">
        <v>286631886894</v>
      </c>
    </row>
    <row r="80" spans="1:5">
      <c r="A80" s="108" t="s">
        <v>144</v>
      </c>
      <c r="B80" s="111"/>
      <c r="C80" s="111"/>
      <c r="D80" s="111"/>
      <c r="E80" s="112"/>
    </row>
    <row r="81" spans="1:5">
      <c r="A81" s="108" t="s">
        <v>145</v>
      </c>
      <c r="B81" s="111"/>
      <c r="C81" s="111"/>
      <c r="D81" s="111"/>
      <c r="E81" s="112"/>
    </row>
    <row r="82" spans="1:5">
      <c r="A82" s="108" t="s">
        <v>146</v>
      </c>
      <c r="B82" s="109">
        <v>932326685</v>
      </c>
      <c r="C82" s="109">
        <v>3396409291</v>
      </c>
      <c r="D82" s="109">
        <v>2069277239</v>
      </c>
      <c r="E82" s="110">
        <v>5053588885</v>
      </c>
    </row>
    <row r="83" spans="1:5">
      <c r="A83" s="108" t="s">
        <v>147</v>
      </c>
      <c r="B83" s="111"/>
      <c r="C83" s="111"/>
      <c r="D83" s="111"/>
      <c r="E83" s="112"/>
    </row>
    <row r="84" spans="1:5">
      <c r="A84" s="108" t="s">
        <v>148</v>
      </c>
      <c r="B84" s="109">
        <v>2999310584</v>
      </c>
      <c r="C84" s="109">
        <v>1922202774</v>
      </c>
      <c r="D84" s="109">
        <v>-2283981445</v>
      </c>
      <c r="E84" s="110">
        <v>-2583816344</v>
      </c>
    </row>
    <row r="85" spans="1:5">
      <c r="A85" s="108" t="s">
        <v>149</v>
      </c>
      <c r="B85" s="109">
        <v>-21140829039</v>
      </c>
      <c r="C85" s="109">
        <v>38375103978</v>
      </c>
      <c r="D85" s="109">
        <v>69728110627</v>
      </c>
      <c r="E85" s="110">
        <v>117648055386</v>
      </c>
    </row>
    <row r="86" spans="1:5">
      <c r="A86" s="108" t="s">
        <v>150</v>
      </c>
      <c r="B86" s="109">
        <v>-2967825776</v>
      </c>
      <c r="C86" s="109">
        <v>-2318407877</v>
      </c>
      <c r="D86" s="109">
        <v>1283945687</v>
      </c>
      <c r="E86" s="110">
        <v>-2701509170</v>
      </c>
    </row>
    <row r="87" spans="1:5">
      <c r="A87" s="108" t="s">
        <v>151</v>
      </c>
      <c r="B87" s="109">
        <v>-20177017546</v>
      </c>
      <c r="C87" s="109">
        <v>41375308166</v>
      </c>
      <c r="D87" s="109">
        <v>70797352108</v>
      </c>
      <c r="E87" s="110">
        <v>117416318757</v>
      </c>
    </row>
    <row r="88" spans="1:5">
      <c r="A88" s="108" t="s">
        <v>152</v>
      </c>
      <c r="B88" s="109">
        <v>74937717868</v>
      </c>
      <c r="C88" s="109">
        <v>221510440563</v>
      </c>
      <c r="D88" s="109">
        <v>169247370631</v>
      </c>
      <c r="E88" s="110">
        <v>404048205651</v>
      </c>
    </row>
    <row r="89" spans="1:5">
      <c r="A89" s="108" t="s">
        <v>153</v>
      </c>
      <c r="B89" s="111"/>
      <c r="C89" s="111"/>
      <c r="D89" s="111"/>
      <c r="E89" s="112"/>
    </row>
    <row r="90" spans="1:5">
      <c r="A90" s="108" t="s">
        <v>154</v>
      </c>
      <c r="B90" s="109">
        <v>59602374432</v>
      </c>
      <c r="C90" s="109">
        <v>133133662419</v>
      </c>
      <c r="D90" s="109">
        <v>80541457942</v>
      </c>
      <c r="E90" s="110">
        <v>219294467602</v>
      </c>
    </row>
    <row r="91" spans="1:5">
      <c r="A91" s="108" t="s">
        <v>155</v>
      </c>
      <c r="B91" s="109">
        <v>35512360982</v>
      </c>
      <c r="C91" s="109">
        <v>47001469978</v>
      </c>
      <c r="D91" s="109">
        <v>17908560581</v>
      </c>
      <c r="E91" s="110">
        <v>67337419292</v>
      </c>
    </row>
    <row r="92" spans="1:5">
      <c r="A92" s="108" t="s">
        <v>156</v>
      </c>
      <c r="B92" s="111"/>
      <c r="C92" s="111"/>
      <c r="D92" s="111"/>
      <c r="E92" s="112"/>
    </row>
    <row r="93" spans="1:5">
      <c r="A93" s="108" t="s">
        <v>154</v>
      </c>
      <c r="B93" s="109">
        <v>52242818676</v>
      </c>
      <c r="C93" s="109">
        <v>164463609019</v>
      </c>
      <c r="D93" s="109">
        <v>131719092062</v>
      </c>
      <c r="E93" s="110">
        <v>314286326035</v>
      </c>
    </row>
    <row r="94" spans="1:5">
      <c r="A94" s="108" t="s">
        <v>157</v>
      </c>
      <c r="B94" s="109">
        <v>22694899192</v>
      </c>
      <c r="C94" s="109">
        <v>57046831544</v>
      </c>
      <c r="D94" s="109">
        <v>37528278569</v>
      </c>
      <c r="E94" s="110">
        <v>89761879616</v>
      </c>
    </row>
    <row r="95" spans="1:5">
      <c r="A95" s="108" t="s">
        <v>158</v>
      </c>
      <c r="B95" s="111"/>
      <c r="C95" s="111"/>
      <c r="D95" s="111"/>
      <c r="E95" s="112"/>
    </row>
    <row r="96" spans="1:5">
      <c r="A96" s="108" t="s">
        <v>159</v>
      </c>
      <c r="B96" s="111">
        <v>991</v>
      </c>
      <c r="C96" s="109">
        <v>2214</v>
      </c>
      <c r="D96" s="109">
        <v>1318</v>
      </c>
      <c r="E96" s="110">
        <v>3588</v>
      </c>
    </row>
    <row r="97" spans="1:5">
      <c r="A97" s="113" t="s">
        <v>160</v>
      </c>
      <c r="B97" s="115">
        <v>991</v>
      </c>
      <c r="C97" s="114">
        <v>2214</v>
      </c>
      <c r="D97" s="114">
        <v>1318</v>
      </c>
      <c r="E97" s="123">
        <v>3588</v>
      </c>
    </row>
    <row r="99" spans="1:5">
      <c r="B99"/>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E31837"/>
    <pageSetUpPr fitToPage="1"/>
  </sheetPr>
  <dimension ref="A1:O51"/>
  <sheetViews>
    <sheetView view="pageBreakPreview" topLeftCell="A19" zoomScale="110" zoomScaleNormal="110" zoomScaleSheetLayoutView="110" workbookViewId="0">
      <selection activeCell="A46" sqref="A46"/>
    </sheetView>
  </sheetViews>
  <sheetFormatPr defaultRowHeight="12.75"/>
  <cols>
    <col min="1" max="1" width="26.625" style="81" customWidth="1"/>
    <col min="2" max="14" width="5.375" style="90" customWidth="1"/>
    <col min="15" max="16384" width="9" style="1"/>
  </cols>
  <sheetData>
    <row r="1" spans="1:14" ht="18">
      <c r="A1" s="65" t="s">
        <v>86</v>
      </c>
      <c r="B1" s="82"/>
      <c r="C1" s="82"/>
      <c r="D1" s="82"/>
      <c r="E1" s="82"/>
      <c r="F1" s="82"/>
      <c r="G1" s="82"/>
      <c r="H1" s="82"/>
      <c r="I1" s="82"/>
      <c r="J1" s="82"/>
      <c r="K1" s="82"/>
      <c r="L1" s="82"/>
      <c r="M1" s="485" t="s">
        <v>817</v>
      </c>
      <c r="N1" s="485"/>
    </row>
    <row r="2" spans="1:14">
      <c r="A2" s="66" t="s">
        <v>714</v>
      </c>
      <c r="B2" s="82"/>
      <c r="C2" s="82"/>
      <c r="D2" s="82"/>
      <c r="E2" s="82"/>
      <c r="F2" s="82"/>
      <c r="G2" s="82"/>
      <c r="H2" s="82"/>
      <c r="I2" s="82"/>
      <c r="J2" s="82"/>
      <c r="K2" s="82"/>
      <c r="L2" s="82"/>
      <c r="M2" s="82"/>
      <c r="N2" s="82"/>
    </row>
    <row r="3" spans="1:14">
      <c r="A3" s="66" t="s">
        <v>61</v>
      </c>
      <c r="B3" s="82"/>
      <c r="C3" s="82"/>
      <c r="D3" s="82"/>
      <c r="E3" s="82"/>
      <c r="F3" s="82"/>
      <c r="G3" s="82"/>
      <c r="H3" s="82"/>
      <c r="I3" s="82"/>
      <c r="J3" s="82"/>
      <c r="K3" s="82"/>
      <c r="L3" s="82"/>
      <c r="M3" s="82"/>
      <c r="N3" s="82"/>
    </row>
    <row r="4" spans="1:14" ht="15.75">
      <c r="A4" s="67" t="s">
        <v>662</v>
      </c>
      <c r="B4" s="82"/>
      <c r="C4" s="82"/>
      <c r="D4" s="83"/>
      <c r="E4" s="83"/>
      <c r="F4" s="83"/>
      <c r="G4" s="83"/>
      <c r="H4" s="83"/>
      <c r="I4" s="83"/>
      <c r="J4" s="83"/>
      <c r="K4" s="83"/>
      <c r="L4" s="83"/>
      <c r="M4" s="83"/>
      <c r="N4" s="83"/>
    </row>
    <row r="5" spans="1:14" s="4" customFormat="1" ht="15">
      <c r="A5" s="68" t="str">
        <f>IF(VLOOKUP($M$1,Sheet1!$B$2:$C$4,2,FALSE)=1,Data1_BS!A5,Data1_BS!B5)</f>
        <v>(KRW bn)</v>
      </c>
      <c r="B5" s="84" t="s">
        <v>62</v>
      </c>
      <c r="C5" s="84" t="str">
        <f>+Data1_BS!H5</f>
        <v>Q2 19</v>
      </c>
      <c r="D5" s="84" t="str">
        <f>+Data1_BS!I5</f>
        <v>Q3 19</v>
      </c>
      <c r="E5" s="85" t="str">
        <f>+Data1_BS!J5</f>
        <v>Q4 19</v>
      </c>
      <c r="F5" s="84" t="str">
        <f>+Data1_BS!K5</f>
        <v>Q1 20</v>
      </c>
      <c r="G5" s="84" t="str">
        <f>+Data1_BS!L5</f>
        <v>Q2 20</v>
      </c>
      <c r="H5" s="84" t="str">
        <f>+Data1_BS!M5</f>
        <v>Q3 20</v>
      </c>
      <c r="I5" s="85" t="str">
        <f>+Data1_BS!N5</f>
        <v>Q4 20</v>
      </c>
      <c r="J5" s="84" t="str">
        <f>+Data1_BS!O5</f>
        <v>Q1 21</v>
      </c>
      <c r="K5" s="84" t="str">
        <f>+Data1_BS!P5</f>
        <v>Q2 21</v>
      </c>
      <c r="L5" s="84" t="str">
        <f>+Data1_BS!Q5</f>
        <v>Q3 21</v>
      </c>
      <c r="M5" s="85" t="str">
        <f>+Data1_BS!R5</f>
        <v>Q4 21</v>
      </c>
      <c r="N5" s="84" t="str">
        <f>+Data1_BS!S5</f>
        <v>Q1 22</v>
      </c>
    </row>
    <row r="6" spans="1:14" ht="18" customHeight="1">
      <c r="A6" s="69" t="str">
        <f>IF(VLOOKUP($M$1,Sheet1!$B$2:$C$4,2,FALSE)=1,Data1_BS!A6,Data1_BS!B6)</f>
        <v>Assets</v>
      </c>
      <c r="B6" s="86"/>
      <c r="C6" s="86"/>
      <c r="D6" s="86"/>
      <c r="E6" s="87"/>
      <c r="F6" s="86"/>
      <c r="G6" s="86"/>
      <c r="H6" s="86"/>
      <c r="I6" s="87"/>
      <c r="J6" s="86"/>
      <c r="K6" s="86"/>
      <c r="L6" s="86"/>
      <c r="M6" s="87"/>
      <c r="N6" s="86"/>
    </row>
    <row r="7" spans="1:14" s="2" customFormat="1" ht="12" customHeight="1">
      <c r="A7" s="70" t="str">
        <f>IF(VLOOKUP($M$1,Sheet1!$B$2:$C$4,2,FALSE)=1,Data1_BS!A7,Data1_BS!B7)</f>
        <v>Current assets</v>
      </c>
      <c r="B7" s="154">
        <f>+Data1_BS!G7</f>
        <v>1556.1412406110014</v>
      </c>
      <c r="C7" s="154">
        <f>+Data1_BS!H7</f>
        <v>1589.8749108760014</v>
      </c>
      <c r="D7" s="154">
        <f>+Data1_BS!I7</f>
        <v>1726.0397305440015</v>
      </c>
      <c r="E7" s="155">
        <f>+Data1_BS!J7</f>
        <v>1586.8098232520015</v>
      </c>
      <c r="F7" s="154">
        <f>+Data1_BS!K7</f>
        <v>1835.9282691430017</v>
      </c>
      <c r="G7" s="154">
        <f>+Data1_BS!L7</f>
        <v>1711.2122986990016</v>
      </c>
      <c r="H7" s="154">
        <f>+Data1_BS!M7</f>
        <v>1704.2361243350015</v>
      </c>
      <c r="I7" s="155">
        <f>+Data1_BS!N7</f>
        <v>1686.0642222780016</v>
      </c>
      <c r="J7" s="154">
        <f>+Data1_BS!O7</f>
        <v>1854.5347590930016</v>
      </c>
      <c r="K7" s="154">
        <f>+Data1_BS!P7</f>
        <v>1930.6370433070017</v>
      </c>
      <c r="L7" s="154">
        <f>+Data1_BS!Q7</f>
        <v>2086.587547076002</v>
      </c>
      <c r="M7" s="155">
        <f>+Data1_BS!R7</f>
        <v>2041.1303918100018</v>
      </c>
      <c r="N7" s="154">
        <f>+Data1_BS!S7</f>
        <v>2293.6157632560021</v>
      </c>
    </row>
    <row r="8" spans="1:14" s="2" customFormat="1" ht="12" customHeight="1">
      <c r="A8" s="71" t="str">
        <f>IF(VLOOKUP($M$1,Sheet1!$B$2:$C$4,2,FALSE)=1,Data1_BS!A8,Data1_BS!B8)</f>
        <v>Cash &amp; cash equivalents</v>
      </c>
      <c r="B8" s="156">
        <f>+Data1_BS!G8</f>
        <v>200.75746965400018</v>
      </c>
      <c r="C8" s="156">
        <f>+Data1_BS!H8</f>
        <v>195.86125057000018</v>
      </c>
      <c r="D8" s="156">
        <f>+Data1_BS!I8</f>
        <v>310.05895800900026</v>
      </c>
      <c r="E8" s="157">
        <f>+Data1_BS!J8</f>
        <v>232.03242438800021</v>
      </c>
      <c r="F8" s="156">
        <f>+Data1_BS!K8</f>
        <v>354.27551012000032</v>
      </c>
      <c r="G8" s="156">
        <f>+Data1_BS!L8</f>
        <v>375.22935223100035</v>
      </c>
      <c r="H8" s="156">
        <f>+Data1_BS!M8</f>
        <v>390.99056043500036</v>
      </c>
      <c r="I8" s="157">
        <f>+Data1_BS!N8</f>
        <v>470.64755252500044</v>
      </c>
      <c r="J8" s="156">
        <f>+Data1_BS!O8</f>
        <v>467.16907507400043</v>
      </c>
      <c r="K8" s="156">
        <f>+Data1_BS!P8</f>
        <v>593.4987514550005</v>
      </c>
      <c r="L8" s="156">
        <f>+Data1_BS!Q8</f>
        <v>726.34635178700069</v>
      </c>
      <c r="M8" s="157">
        <f>+Data1_BS!R8</f>
        <v>699.20359078300066</v>
      </c>
      <c r="N8" s="156">
        <f>+Data1_BS!S8</f>
        <v>608.96584737000057</v>
      </c>
    </row>
    <row r="9" spans="1:14" s="2" customFormat="1" ht="12" customHeight="1">
      <c r="A9" s="71" t="str">
        <f>IF(VLOOKUP($M$1,Sheet1!$B$2:$C$4,2,FALSE)=1,Data1_BS!A9,Data1_BS!B9)</f>
        <v>Trade and other receivables</v>
      </c>
      <c r="B9" s="156">
        <f>+Data1_BS!G9</f>
        <v>650.91615784200053</v>
      </c>
      <c r="C9" s="156">
        <f>+Data1_BS!H9</f>
        <v>641.40544571200053</v>
      </c>
      <c r="D9" s="156">
        <f>+Data1_BS!I9</f>
        <v>597.81865030700055</v>
      </c>
      <c r="E9" s="157">
        <f>+Data1_BS!J9</f>
        <v>521.04672303000041</v>
      </c>
      <c r="F9" s="156">
        <f>+Data1_BS!K9</f>
        <v>630.27012215200057</v>
      </c>
      <c r="G9" s="156">
        <f>+Data1_BS!L9</f>
        <v>543.85817082200049</v>
      </c>
      <c r="H9" s="156">
        <f>+Data1_BS!M9</f>
        <v>605.40581433700049</v>
      </c>
      <c r="I9" s="157">
        <f>+Data1_BS!N9</f>
        <v>518.46929807800041</v>
      </c>
      <c r="J9" s="156">
        <f>+Data1_BS!O9</f>
        <v>725.84552873900066</v>
      </c>
      <c r="K9" s="156">
        <f>+Data1_BS!P9</f>
        <v>695.64420929900064</v>
      </c>
      <c r="L9" s="156">
        <f>+Data1_BS!Q9</f>
        <v>637.07329102100061</v>
      </c>
      <c r="M9" s="157">
        <f>+Data1_BS!R9</f>
        <v>471.29996137500041</v>
      </c>
      <c r="N9" s="156">
        <f>+Data1_BS!S9</f>
        <v>710.01962419100062</v>
      </c>
    </row>
    <row r="10" spans="1:14" s="2" customFormat="1" ht="12" customHeight="1">
      <c r="A10" s="71" t="str">
        <f>IF(VLOOKUP($M$1,Sheet1!$B$2:$C$4,2,FALSE)=1,Data1_BS!A10,Data1_BS!B10)</f>
        <v>Inventories</v>
      </c>
      <c r="B10" s="156">
        <f>+Data1_BS!G10</f>
        <v>629.40483030900054</v>
      </c>
      <c r="C10" s="156">
        <f>+Data1_BS!H10</f>
        <v>669.07900597400055</v>
      </c>
      <c r="D10" s="156">
        <f>+Data1_BS!I10</f>
        <v>710.62806141700059</v>
      </c>
      <c r="E10" s="157">
        <f>+Data1_BS!J10</f>
        <v>735.48106257100062</v>
      </c>
      <c r="F10" s="156">
        <f>+Data1_BS!K10</f>
        <v>707.09209564100058</v>
      </c>
      <c r="G10" s="156">
        <f>+Data1_BS!L10</f>
        <v>694.34812234400067</v>
      </c>
      <c r="H10" s="156">
        <f>+Data1_BS!M10</f>
        <v>610.80966288500053</v>
      </c>
      <c r="I10" s="157">
        <f>+Data1_BS!N10</f>
        <v>615.55191534400058</v>
      </c>
      <c r="J10" s="156">
        <f>+Data1_BS!O10</f>
        <v>587.72074502400051</v>
      </c>
      <c r="K10" s="156">
        <f>+Data1_BS!P10</f>
        <v>552.33108081300054</v>
      </c>
      <c r="L10" s="156">
        <f>+Data1_BS!Q10</f>
        <v>618.1721691310006</v>
      </c>
      <c r="M10" s="157">
        <f>+Data1_BS!R10</f>
        <v>757.79701493600066</v>
      </c>
      <c r="N10" s="156">
        <f>+Data1_BS!S10</f>
        <v>865.43438782200076</v>
      </c>
    </row>
    <row r="11" spans="1:14" s="2" customFormat="1" ht="12" customHeight="1">
      <c r="A11" s="71" t="str">
        <f>IF(VLOOKUP($M$1,Sheet1!$B$2:$C$4,2,FALSE)=1,Data1_BS!A11,Data1_BS!B11)</f>
        <v>Other current assets</v>
      </c>
      <c r="B11" s="156">
        <f>+Data1_BS!G11</f>
        <v>75.062782806000314</v>
      </c>
      <c r="C11" s="156">
        <f>+Data1_BS!H11</f>
        <v>83.52920862000019</v>
      </c>
      <c r="D11" s="156">
        <f>+Data1_BS!I11</f>
        <v>107.53406081100002</v>
      </c>
      <c r="E11" s="157">
        <f>+Data1_BS!J11</f>
        <v>98.249613263000356</v>
      </c>
      <c r="F11" s="156">
        <f>+Data1_BS!K11</f>
        <v>144.29054123000014</v>
      </c>
      <c r="G11" s="156">
        <f>+Data1_BS!L11</f>
        <v>97.776653302000113</v>
      </c>
      <c r="H11" s="156">
        <f>+Data1_BS!M11</f>
        <v>97.030086678000089</v>
      </c>
      <c r="I11" s="157">
        <f>+Data1_BS!N11</f>
        <v>81.395456331000332</v>
      </c>
      <c r="J11" s="156">
        <f>+Data1_BS!O11</f>
        <v>73.799410256000101</v>
      </c>
      <c r="K11" s="156">
        <f>+Data1_BS!P11</f>
        <v>89.163001740000027</v>
      </c>
      <c r="L11" s="156">
        <f>+Data1_BS!Q11</f>
        <v>104.99573513700011</v>
      </c>
      <c r="M11" s="157">
        <f>+Data1_BS!R11</f>
        <v>112.82982471599985</v>
      </c>
      <c r="N11" s="156">
        <f>+Data1_BS!S11</f>
        <v>109.19590387300013</v>
      </c>
    </row>
    <row r="12" spans="1:14" s="2" customFormat="1" ht="12" customHeight="1">
      <c r="A12" s="70" t="str">
        <f>IF(VLOOKUP($M$1,Sheet1!$B$2:$C$4,2,FALSE)=1,Data1_BS!A12,Data1_BS!B12)</f>
        <v>Non-current assets</v>
      </c>
      <c r="B12" s="156">
        <f>+Data1_BS!G12</f>
        <v>2107.3292285830021</v>
      </c>
      <c r="C12" s="156">
        <f>+Data1_BS!H12</f>
        <v>2154.8973755730021</v>
      </c>
      <c r="D12" s="156">
        <f>+Data1_BS!I12</f>
        <v>2223.240896002002</v>
      </c>
      <c r="E12" s="157">
        <f>+Data1_BS!J12</f>
        <v>2183.4393052090018</v>
      </c>
      <c r="F12" s="156">
        <f>+Data1_BS!K12</f>
        <v>2285.6144750410022</v>
      </c>
      <c r="G12" s="156">
        <f>+Data1_BS!L12</f>
        <v>2257.7875214560022</v>
      </c>
      <c r="H12" s="156">
        <f>+Data1_BS!M12</f>
        <v>2196.8575724540019</v>
      </c>
      <c r="I12" s="157">
        <f>+Data1_BS!N12</f>
        <v>2072.3770265220019</v>
      </c>
      <c r="J12" s="156">
        <f>+Data1_BS!O12</f>
        <v>2142.135944075002</v>
      </c>
      <c r="K12" s="156">
        <f>+Data1_BS!P12</f>
        <v>2133.2331590400017</v>
      </c>
      <c r="L12" s="156">
        <f>+Data1_BS!Q12</f>
        <v>2228.1517431820021</v>
      </c>
      <c r="M12" s="157">
        <f>+Data1_BS!R12</f>
        <v>2247.7264236040019</v>
      </c>
      <c r="N12" s="156">
        <f>+Data1_BS!S12</f>
        <v>2289.768995188002</v>
      </c>
    </row>
    <row r="13" spans="1:14" s="2" customFormat="1" ht="12">
      <c r="A13" s="71" t="str">
        <f>IF(VLOOKUP($M$1,Sheet1!$B$2:$C$4,2,FALSE)=1,Data1_BS!A13,Data1_BS!B13)</f>
        <v>Property, plant and equipment</v>
      </c>
      <c r="B13" s="156">
        <f>+Data1_BS!G13</f>
        <v>424.87161081200037</v>
      </c>
      <c r="C13" s="156">
        <f>+Data1_BS!H13</f>
        <v>449.12275861800038</v>
      </c>
      <c r="D13" s="156">
        <f>+Data1_BS!I13</f>
        <v>448.02721361500039</v>
      </c>
      <c r="E13" s="157">
        <f>+Data1_BS!J13</f>
        <v>439.0520480660004</v>
      </c>
      <c r="F13" s="156">
        <f>+Data1_BS!K13</f>
        <v>447.39310156200042</v>
      </c>
      <c r="G13" s="156">
        <f>+Data1_BS!L13</f>
        <v>437.08336904200041</v>
      </c>
      <c r="H13" s="156">
        <f>+Data1_BS!M13</f>
        <v>418.5121576020004</v>
      </c>
      <c r="I13" s="157">
        <f>+Data1_BS!N13</f>
        <v>405.23564737400034</v>
      </c>
      <c r="J13" s="156">
        <f>+Data1_BS!O13</f>
        <v>414.9348535460004</v>
      </c>
      <c r="K13" s="156">
        <f>+Data1_BS!P13</f>
        <v>411.35167175600037</v>
      </c>
      <c r="L13" s="156">
        <f>+Data1_BS!Q13</f>
        <v>419.85017636700036</v>
      </c>
      <c r="M13" s="157">
        <f>+Data1_BS!R13</f>
        <v>418.21832200800037</v>
      </c>
      <c r="N13" s="156">
        <f>+Data1_BS!S13</f>
        <v>425.5635070870004</v>
      </c>
    </row>
    <row r="14" spans="1:14" s="2" customFormat="1" ht="12" customHeight="1">
      <c r="A14" s="71" t="str">
        <f>IF(VLOOKUP($M$1,Sheet1!$B$2:$C$4,2,FALSE)=1,Data1_BS!A14,Data1_BS!B14)</f>
        <v>Intangible assets</v>
      </c>
      <c r="B14" s="156">
        <f>+Data1_BS!G14</f>
        <v>1509.4201308040012</v>
      </c>
      <c r="C14" s="156">
        <f>+Data1_BS!H14</f>
        <v>1530.5270293190013</v>
      </c>
      <c r="D14" s="156">
        <f>+Data1_BS!I14</f>
        <v>1596.8454790370015</v>
      </c>
      <c r="E14" s="157">
        <f>+Data1_BS!J14</f>
        <v>1547.9233728270015</v>
      </c>
      <c r="F14" s="156">
        <f>+Data1_BS!K14</f>
        <v>1625.7004804620015</v>
      </c>
      <c r="G14" s="156">
        <f>+Data1_BS!L14</f>
        <v>1595.8445276990014</v>
      </c>
      <c r="H14" s="156">
        <f>+Data1_BS!M14</f>
        <v>1561.1416743690013</v>
      </c>
      <c r="I14" s="157">
        <f>+Data1_BS!N14</f>
        <v>1450.7466136970013</v>
      </c>
      <c r="J14" s="156">
        <f>+Data1_BS!O14</f>
        <v>1496.9387778900013</v>
      </c>
      <c r="K14" s="156">
        <f>+Data1_BS!P14</f>
        <v>1493.2810205870014</v>
      </c>
      <c r="L14" s="156">
        <f>+Data1_BS!Q14</f>
        <v>1557.4905247530014</v>
      </c>
      <c r="M14" s="157">
        <f>+Data1_BS!R14</f>
        <v>1552.7881490770014</v>
      </c>
      <c r="N14" s="156">
        <f>+Data1_BS!S14</f>
        <v>1577.9347955650014</v>
      </c>
    </row>
    <row r="15" spans="1:14" s="2" customFormat="1" ht="12" customHeight="1">
      <c r="A15" s="71" t="str">
        <f>IF(VLOOKUP($M$1,Sheet1!$B$2:$C$4,2,FALSE)=1,Data1_BS!A15,Data1_BS!B15)</f>
        <v>Investment in associates</v>
      </c>
      <c r="B15" s="156">
        <f>+Data1_BS!G15</f>
        <v>51.833872805000048</v>
      </c>
      <c r="C15" s="156">
        <f>+Data1_BS!H15</f>
        <v>58.854975152000051</v>
      </c>
      <c r="D15" s="156">
        <f>+Data1_BS!I15</f>
        <v>55.099582619000046</v>
      </c>
      <c r="E15" s="157">
        <f>+Data1_BS!J15</f>
        <v>66.210958086000062</v>
      </c>
      <c r="F15" s="156">
        <f>+Data1_BS!K15</f>
        <v>75.720485171000064</v>
      </c>
      <c r="G15" s="156">
        <f>+Data1_BS!L15</f>
        <v>78.661910563000063</v>
      </c>
      <c r="H15" s="156">
        <f>+Data1_BS!M15</f>
        <v>88.335730014000077</v>
      </c>
      <c r="I15" s="157">
        <f>+Data1_BS!N15</f>
        <v>100.7884924160001</v>
      </c>
      <c r="J15" s="156">
        <f>+Data1_BS!O15</f>
        <v>115.7477197540001</v>
      </c>
      <c r="K15" s="156">
        <f>+Data1_BS!P15</f>
        <v>132.51448075900012</v>
      </c>
      <c r="L15" s="156">
        <f>+Data1_BS!Q15</f>
        <v>137.39793629400012</v>
      </c>
      <c r="M15" s="157">
        <f>+Data1_BS!R15</f>
        <v>155.03709775800013</v>
      </c>
      <c r="N15" s="156">
        <f>+Data1_BS!S15</f>
        <v>171.82232042200016</v>
      </c>
    </row>
    <row r="16" spans="1:14" s="2" customFormat="1" ht="12" customHeight="1">
      <c r="A16" s="71" t="str">
        <f>IF(VLOOKUP($M$1,Sheet1!$B$2:$C$4,2,FALSE)=1,Data1_BS!A16,Data1_BS!B16)</f>
        <v>Other non-current assets</v>
      </c>
      <c r="B16" s="156">
        <f>+Data1_BS!G16</f>
        <v>121.20361416200035</v>
      </c>
      <c r="C16" s="156">
        <f>+Data1_BS!H16</f>
        <v>116.39261248400044</v>
      </c>
      <c r="D16" s="156">
        <f>+Data1_BS!I16</f>
        <v>123.26862073100028</v>
      </c>
      <c r="E16" s="157">
        <f>+Data1_BS!J16</f>
        <v>130.25292622999996</v>
      </c>
      <c r="F16" s="156">
        <f>+Data1_BS!K16</f>
        <v>136.80040784599987</v>
      </c>
      <c r="G16" s="156">
        <f>+Data1_BS!L16</f>
        <v>146.19771415200012</v>
      </c>
      <c r="H16" s="156">
        <f>+Data1_BS!M16</f>
        <v>128.86801046900018</v>
      </c>
      <c r="I16" s="157">
        <f>+Data1_BS!N16</f>
        <v>115.60627303500019</v>
      </c>
      <c r="J16" s="156">
        <f>+Data1_BS!O16</f>
        <v>114.51459288500018</v>
      </c>
      <c r="K16" s="156">
        <f>+Data1_BS!P16</f>
        <v>96.085985937999794</v>
      </c>
      <c r="L16" s="156">
        <f>+Data1_BS!Q16</f>
        <v>113.41310576800015</v>
      </c>
      <c r="M16" s="157">
        <f>+Data1_BS!R16</f>
        <v>121.68285476099982</v>
      </c>
      <c r="N16" s="156">
        <f>+Data1_BS!S16</f>
        <v>114.44837211399999</v>
      </c>
    </row>
    <row r="17" spans="1:14">
      <c r="A17" s="73" t="str">
        <f>IF(VLOOKUP($M$1,Sheet1!$B$2:$C$4,2,FALSE)=1,Data1_BS!A17,Data1_BS!B17)</f>
        <v>Total assets</v>
      </c>
      <c r="B17" s="158">
        <f>+Data1_BS!G17</f>
        <v>3663.4704691940033</v>
      </c>
      <c r="C17" s="158">
        <f>+Data1_BS!H17</f>
        <v>3744.7722864490033</v>
      </c>
      <c r="D17" s="158">
        <f>+Data1_BS!I17</f>
        <v>3949.2806265460035</v>
      </c>
      <c r="E17" s="159">
        <f>+Data1_BS!J17</f>
        <v>3770.2491284610032</v>
      </c>
      <c r="F17" s="158">
        <f>+Data1_BS!K17</f>
        <v>4121.5427441840038</v>
      </c>
      <c r="G17" s="158">
        <f>+Data1_BS!L17</f>
        <v>3968.9998201550034</v>
      </c>
      <c r="H17" s="158">
        <f>+Data1_BS!M17</f>
        <v>3901.0936967890034</v>
      </c>
      <c r="I17" s="159">
        <f>+Data1_BS!N17</f>
        <v>3758.4412488000035</v>
      </c>
      <c r="J17" s="158">
        <f>+Data1_BS!O17</f>
        <v>3996.6707031680035</v>
      </c>
      <c r="K17" s="158">
        <f>+Data1_BS!P17</f>
        <v>4063.8702023470037</v>
      </c>
      <c r="L17" s="158">
        <f>+Data1_BS!Q17</f>
        <v>4314.7392902580041</v>
      </c>
      <c r="M17" s="159">
        <f>+Data1_BS!R17</f>
        <v>4288.8568154140039</v>
      </c>
      <c r="N17" s="158">
        <f>+Data1_BS!S17</f>
        <v>4583.3847584440036</v>
      </c>
    </row>
    <row r="18" spans="1:14" ht="18" customHeight="1">
      <c r="A18" s="74" t="str">
        <f>IF(VLOOKUP($M$1,Sheet1!$B$2:$C$4,2,FALSE)=1,Data1_BS!A18,Data1_BS!B18)</f>
        <v>Liabilities</v>
      </c>
      <c r="B18" s="160"/>
      <c r="C18" s="160"/>
      <c r="D18" s="160"/>
      <c r="E18" s="161"/>
      <c r="F18" s="160"/>
      <c r="G18" s="160"/>
      <c r="H18" s="160"/>
      <c r="I18" s="161"/>
      <c r="J18" s="160"/>
      <c r="K18" s="160"/>
      <c r="L18" s="160"/>
      <c r="M18" s="161"/>
      <c r="N18" s="160"/>
    </row>
    <row r="19" spans="1:14" s="2" customFormat="1" ht="12" customHeight="1">
      <c r="A19" s="70" t="str">
        <f>IF(VLOOKUP($M$1,Sheet1!$B$2:$C$4,2,FALSE)=1,Data1_BS!A19,Data1_BS!B19)</f>
        <v>Current liabilities</v>
      </c>
      <c r="B19" s="154">
        <f>+Data1_BS!G19</f>
        <v>828.08305404400073</v>
      </c>
      <c r="C19" s="154">
        <f>+Data1_BS!H19</f>
        <v>920.77606019100085</v>
      </c>
      <c r="D19" s="154">
        <f>+Data1_BS!I19</f>
        <v>987.41492284900085</v>
      </c>
      <c r="E19" s="155">
        <f>+Data1_BS!J19</f>
        <v>867.3560089000008</v>
      </c>
      <c r="F19" s="154">
        <f>+Data1_BS!K19</f>
        <v>1084.9321901960009</v>
      </c>
      <c r="G19" s="154">
        <f>+Data1_BS!L19</f>
        <v>986.09422294800083</v>
      </c>
      <c r="H19" s="154">
        <f>+Data1_BS!M19</f>
        <v>912.87061866700083</v>
      </c>
      <c r="I19" s="155">
        <f>+Data1_BS!N19</f>
        <v>995.45973277100086</v>
      </c>
      <c r="J19" s="154">
        <f>+Data1_BS!O19</f>
        <v>1005.4139375570008</v>
      </c>
      <c r="K19" s="154">
        <f>+Data1_BS!P19</f>
        <v>930.72775474900084</v>
      </c>
      <c r="L19" s="154">
        <f>+Data1_BS!Q19</f>
        <v>994.19466537100084</v>
      </c>
      <c r="M19" s="155">
        <f>+Data1_BS!R19</f>
        <v>1051.3886840260009</v>
      </c>
      <c r="N19" s="154">
        <f>+Data1_BS!S19</f>
        <v>1248.3085699680012</v>
      </c>
    </row>
    <row r="20" spans="1:14" s="2" customFormat="1" ht="12" customHeight="1">
      <c r="A20" s="71" t="str">
        <f>IF(VLOOKUP($M$1,Sheet1!$B$2:$C$4,2,FALSE)=1,Data1_BS!A20,Data1_BS!B20)</f>
        <v>Trade and other payables</v>
      </c>
      <c r="B20" s="156">
        <f>+Data1_BS!G20</f>
        <v>377.89821733800034</v>
      </c>
      <c r="C20" s="156">
        <f>+Data1_BS!H20</f>
        <v>442.96853712500041</v>
      </c>
      <c r="D20" s="156">
        <f>+Data1_BS!I20</f>
        <v>441.32312513600039</v>
      </c>
      <c r="E20" s="157">
        <f>+Data1_BS!J20</f>
        <v>413.00438353000038</v>
      </c>
      <c r="F20" s="156">
        <f>+Data1_BS!K20</f>
        <v>381.04179534100035</v>
      </c>
      <c r="G20" s="156">
        <f>+Data1_BS!L20</f>
        <v>366.02482893800033</v>
      </c>
      <c r="H20" s="156">
        <f>+Data1_BS!M20</f>
        <v>419.48770352600036</v>
      </c>
      <c r="I20" s="157">
        <f>+Data1_BS!N20</f>
        <v>407.88092368700035</v>
      </c>
      <c r="J20" s="156">
        <f>+Data1_BS!O20</f>
        <v>426.75720273500036</v>
      </c>
      <c r="K20" s="156">
        <f>+Data1_BS!P20</f>
        <v>471.73702660000043</v>
      </c>
      <c r="L20" s="156">
        <f>+Data1_BS!Q20</f>
        <v>525.67984279000052</v>
      </c>
      <c r="M20" s="157">
        <f>+Data1_BS!R20</f>
        <v>536.94525075400043</v>
      </c>
      <c r="N20" s="156">
        <f>+Data1_BS!S20</f>
        <v>563.71136182500049</v>
      </c>
    </row>
    <row r="21" spans="1:14" s="2" customFormat="1" ht="12" customHeight="1">
      <c r="A21" s="71" t="str">
        <f>IF(VLOOKUP($M$1,Sheet1!$B$2:$C$4,2,FALSE)=1,Data1_BS!A21,Data1_BS!B21)</f>
        <v>Borrowings</v>
      </c>
      <c r="B21" s="156">
        <f>+Data1_BS!G21</f>
        <v>328.46742551500029</v>
      </c>
      <c r="C21" s="156">
        <f>+Data1_BS!H21</f>
        <v>302.28523744500029</v>
      </c>
      <c r="D21" s="156">
        <f>+Data1_BS!I21</f>
        <v>358.0753923610003</v>
      </c>
      <c r="E21" s="157">
        <f>+Data1_BS!J21</f>
        <v>236.39433021900021</v>
      </c>
      <c r="F21" s="156">
        <f>+Data1_BS!K21</f>
        <v>475.76053223500043</v>
      </c>
      <c r="G21" s="156">
        <f>+Data1_BS!L21</f>
        <v>492.89678753000044</v>
      </c>
      <c r="H21" s="156">
        <f>+Data1_BS!M21</f>
        <v>366.35365046800035</v>
      </c>
      <c r="I21" s="157">
        <f>+Data1_BS!N21</f>
        <v>355.99047078100034</v>
      </c>
      <c r="J21" s="156">
        <f>+Data1_BS!O21</f>
        <v>331.02853069300028</v>
      </c>
      <c r="K21" s="156">
        <f>+Data1_BS!P21</f>
        <v>276.03892929100027</v>
      </c>
      <c r="L21" s="156">
        <f>+Data1_BS!Q21</f>
        <v>302.54264726000025</v>
      </c>
      <c r="M21" s="157">
        <f>+Data1_BS!R21</f>
        <v>285.86552910800026</v>
      </c>
      <c r="N21" s="156">
        <f>+Data1_BS!S21</f>
        <v>448.9781249440004</v>
      </c>
    </row>
    <row r="22" spans="1:14" s="2" customFormat="1" ht="12" customHeight="1">
      <c r="A22" s="71" t="str">
        <f>IF(VLOOKUP($M$1,Sheet1!$B$2:$C$4,2,FALSE)=1,Data1_BS!A22,Data1_BS!B22)</f>
        <v>Other current liabilities</v>
      </c>
      <c r="B22" s="156">
        <f>+Data1_BS!G22</f>
        <v>121.71741119100011</v>
      </c>
      <c r="C22" s="156">
        <f>+Data1_BS!H22</f>
        <v>175.52228562100015</v>
      </c>
      <c r="D22" s="156">
        <f>+Data1_BS!I22</f>
        <v>188.01640535200011</v>
      </c>
      <c r="E22" s="157">
        <f>+Data1_BS!J22</f>
        <v>217.95729515100027</v>
      </c>
      <c r="F22" s="156">
        <f>+Data1_BS!K22</f>
        <v>228.12986262000004</v>
      </c>
      <c r="G22" s="156">
        <f>+Data1_BS!L22</f>
        <v>127.17260648000001</v>
      </c>
      <c r="H22" s="156">
        <f>+Data1_BS!M22</f>
        <v>127.02926467300017</v>
      </c>
      <c r="I22" s="157">
        <f>+Data1_BS!N22</f>
        <v>231.58833830300011</v>
      </c>
      <c r="J22" s="156">
        <f>+Data1_BS!O22</f>
        <v>247.62820412900021</v>
      </c>
      <c r="K22" s="156">
        <f>+Data1_BS!P22</f>
        <v>182.95179885800019</v>
      </c>
      <c r="L22" s="156">
        <f>+Data1_BS!Q22</f>
        <v>165.97217532100012</v>
      </c>
      <c r="M22" s="157">
        <f>+Data1_BS!R22</f>
        <v>228.57790416400019</v>
      </c>
      <c r="N22" s="156">
        <f>+Data1_BS!S22</f>
        <v>235.61908319900027</v>
      </c>
    </row>
    <row r="23" spans="1:14" s="2" customFormat="1" ht="12" customHeight="1">
      <c r="A23" s="72" t="str">
        <f>IF(VLOOKUP($M$1,Sheet1!$B$2:$C$4,2,FALSE)=1,Data1_BS!A23,Data1_BS!B23)</f>
        <v>Non-current liabilities</v>
      </c>
      <c r="B23" s="156">
        <f>+Data1_BS!G23</f>
        <v>1229.1845251200011</v>
      </c>
      <c r="C23" s="156">
        <f>+Data1_BS!H23</f>
        <v>1107.8820020730009</v>
      </c>
      <c r="D23" s="156">
        <f>+Data1_BS!I23</f>
        <v>1088.8952344370009</v>
      </c>
      <c r="E23" s="157">
        <f>+Data1_BS!J23</f>
        <v>1101.9495017360009</v>
      </c>
      <c r="F23" s="156">
        <f>+Data1_BS!K23</f>
        <v>1161.8606576860011</v>
      </c>
      <c r="G23" s="156">
        <f>+Data1_BS!L23</f>
        <v>1084.2238475600009</v>
      </c>
      <c r="H23" s="156">
        <f>+Data1_BS!M23</f>
        <v>1018.2301441750009</v>
      </c>
      <c r="I23" s="157">
        <f>+Data1_BS!N23</f>
        <v>905.65370904400083</v>
      </c>
      <c r="J23" s="156">
        <f>+Data1_BS!O23</f>
        <v>950.24122832200089</v>
      </c>
      <c r="K23" s="156">
        <f>+Data1_BS!P23</f>
        <v>914.87628333600082</v>
      </c>
      <c r="L23" s="156">
        <f>+Data1_BS!Q23</f>
        <v>952.20807743400087</v>
      </c>
      <c r="M23" s="157">
        <f>+Data1_BS!R23</f>
        <v>930.97889506200079</v>
      </c>
      <c r="N23" s="156">
        <f>+Data1_BS!S23</f>
        <v>969.35848831900091</v>
      </c>
    </row>
    <row r="24" spans="1:14" s="2" customFormat="1" ht="12">
      <c r="A24" s="71" t="str">
        <f>IF(VLOOKUP($M$1,Sheet1!$B$2:$C$4,2,FALSE)=1,Data1_BS!A24,Data1_BS!B24)</f>
        <v>Borrowings and bonds</v>
      </c>
      <c r="B24" s="156">
        <f>+Data1_BS!G24</f>
        <v>796.924217505</v>
      </c>
      <c r="C24" s="156">
        <f>+Data1_BS!H24</f>
        <v>633.01032878900003</v>
      </c>
      <c r="D24" s="156">
        <f>+Data1_BS!I24</f>
        <v>614.37466767600051</v>
      </c>
      <c r="E24" s="157">
        <f>+Data1_BS!J24</f>
        <v>611.69024482900056</v>
      </c>
      <c r="F24" s="156">
        <f>+Data1_BS!K24</f>
        <v>627.72890929400057</v>
      </c>
      <c r="G24" s="156">
        <f>+Data1_BS!L24</f>
        <v>555.58069143500052</v>
      </c>
      <c r="H24" s="156">
        <f>+Data1_BS!M24</f>
        <v>520.40857973200048</v>
      </c>
      <c r="I24" s="157">
        <f>+Data1_BS!N24</f>
        <v>507.11663165500045</v>
      </c>
      <c r="J24" s="156">
        <f>+Data1_BS!O24</f>
        <v>516.38375839699995</v>
      </c>
      <c r="K24" s="156">
        <f>+Data1_BS!P24</f>
        <v>414.25045325999997</v>
      </c>
      <c r="L24" s="156">
        <f>+Data1_BS!Q24</f>
        <v>425.937033633</v>
      </c>
      <c r="M24" s="157">
        <f>+Data1_BS!R24</f>
        <v>421.06786913600001</v>
      </c>
      <c r="N24" s="156">
        <f>+Data1_BS!S24</f>
        <v>423.40561887700039</v>
      </c>
    </row>
    <row r="25" spans="1:14" s="2" customFormat="1" ht="12">
      <c r="A25" s="71" t="str">
        <f>IF(VLOOKUP($M$1,Sheet1!$B$2:$C$4,2,FALSE)=1,Data1_BS!A25,Data1_BS!B25)</f>
        <v>Other financial liabilities</v>
      </c>
      <c r="B25" s="156">
        <f>+Data1_BS!G25</f>
        <v>106.0984812250001</v>
      </c>
      <c r="C25" s="156">
        <f>+Data1_BS!H25</f>
        <v>125.40778576500011</v>
      </c>
      <c r="D25" s="156">
        <f>+Data1_BS!I25</f>
        <v>128.28463630700011</v>
      </c>
      <c r="E25" s="157">
        <f>+Data1_BS!J25</f>
        <v>117.2209490350001</v>
      </c>
      <c r="F25" s="156">
        <f>+Data1_BS!K25</f>
        <v>115.3094984180001</v>
      </c>
      <c r="G25" s="156">
        <f>+Data1_BS!L25</f>
        <v>110.5159314190001</v>
      </c>
      <c r="H25" s="156">
        <f>+Data1_BS!M25</f>
        <v>106.1341979460001</v>
      </c>
      <c r="I25" s="157">
        <f>+Data1_BS!N25</f>
        <v>108.6558194270001</v>
      </c>
      <c r="J25" s="156">
        <f>+Data1_BS!O25</f>
        <v>106.16854959699999</v>
      </c>
      <c r="K25" s="156">
        <f>+Data1_BS!P25</f>
        <v>104.23286292100001</v>
      </c>
      <c r="L25" s="156">
        <f>+Data1_BS!Q25</f>
        <v>102.31680056899999</v>
      </c>
      <c r="M25" s="157">
        <f>+Data1_BS!R25</f>
        <v>84.710565048000007</v>
      </c>
      <c r="N25" s="156">
        <f>+Data1_BS!S25</f>
        <v>86.339570924000071</v>
      </c>
    </row>
    <row r="26" spans="1:14" s="2" customFormat="1" ht="12" customHeight="1">
      <c r="A26" s="71" t="str">
        <f>IF(VLOOKUP($M$1,Sheet1!$B$2:$C$4,2,FALSE)=1,Data1_BS!A26,Data1_BS!B26)</f>
        <v>Net defined benefit liabilities</v>
      </c>
      <c r="B26" s="156">
        <f>+Data1_BS!G26</f>
        <v>136.48476024700011</v>
      </c>
      <c r="C26" s="156">
        <f>+Data1_BS!H26</f>
        <v>139.43884346900012</v>
      </c>
      <c r="D26" s="156">
        <f>+Data1_BS!I26</f>
        <v>119.51031171000011</v>
      </c>
      <c r="E26" s="157">
        <f>+Data1_BS!J26</f>
        <v>147.45557232200014</v>
      </c>
      <c r="F26" s="156">
        <f>+Data1_BS!K26</f>
        <v>157.60878301300014</v>
      </c>
      <c r="G26" s="156">
        <f>+Data1_BS!L26</f>
        <v>159.96004782300014</v>
      </c>
      <c r="H26" s="156">
        <f>+Data1_BS!M26</f>
        <v>140.75309871100012</v>
      </c>
      <c r="I26" s="157">
        <f>+Data1_BS!N26</f>
        <v>130.6840238740001</v>
      </c>
      <c r="J26" s="156">
        <f>+Data1_BS!O26</f>
        <v>136.34240919300012</v>
      </c>
      <c r="K26" s="156">
        <f>+Data1_BS!P26</f>
        <v>137.13979531200013</v>
      </c>
      <c r="L26" s="156">
        <f>+Data1_BS!Q26</f>
        <v>135.98807325300012</v>
      </c>
      <c r="M26" s="157">
        <f>+Data1_BS!R26</f>
        <v>126.06081756400012</v>
      </c>
      <c r="N26" s="156">
        <f>+Data1_BS!S26</f>
        <v>126.89015118200011</v>
      </c>
    </row>
    <row r="27" spans="1:14" s="2" customFormat="1" ht="12" customHeight="1">
      <c r="A27" s="71" t="str">
        <f>IF(VLOOKUP($M$1,Sheet1!$B$2:$C$4,2,FALSE)=1,Data1_BS!A27,Data1_BS!B27)</f>
        <v>Deferred tax liabilities</v>
      </c>
      <c r="B27" s="156">
        <f>+Data1_BS!G27</f>
        <v>151.64645014700014</v>
      </c>
      <c r="C27" s="156">
        <f>+Data1_BS!H27</f>
        <v>170.55316964500014</v>
      </c>
      <c r="D27" s="156">
        <f>+Data1_BS!I27</f>
        <v>187.29230199200018</v>
      </c>
      <c r="E27" s="157">
        <f>+Data1_BS!J27</f>
        <v>187.11702526400018</v>
      </c>
      <c r="F27" s="156">
        <f>+Data1_BS!K27</f>
        <v>217.81509056000019</v>
      </c>
      <c r="G27" s="156">
        <f>+Data1_BS!L27</f>
        <v>217.75548448000021</v>
      </c>
      <c r="H27" s="156">
        <f>+Data1_BS!M27</f>
        <v>209.64213941500017</v>
      </c>
      <c r="I27" s="157">
        <f>+Data1_BS!N27</f>
        <v>131.45349044200012</v>
      </c>
      <c r="J27" s="156">
        <f>+Data1_BS!O27</f>
        <v>162.02650188900014</v>
      </c>
      <c r="K27" s="156">
        <f>+Data1_BS!P27</f>
        <v>230.24711159500021</v>
      </c>
      <c r="L27" s="156">
        <f>+Data1_BS!Q27</f>
        <v>257.9489306920002</v>
      </c>
      <c r="M27" s="157">
        <f>+Data1_BS!R27</f>
        <v>268.303092865</v>
      </c>
      <c r="N27" s="156">
        <f>+Data1_BS!S27</f>
        <v>301.12703052000029</v>
      </c>
    </row>
    <row r="28" spans="1:14" s="2" customFormat="1" ht="12" customHeight="1">
      <c r="A28" s="71" t="str">
        <f>IF(VLOOKUP($M$1,Sheet1!$B$2:$C$4,2,FALSE)=1,Data1_BS!A28,Data1_BS!B28)</f>
        <v>Other non-current liabilities</v>
      </c>
      <c r="B28" s="156">
        <f>+Data1_BS!G28</f>
        <v>38.030615996000734</v>
      </c>
      <c r="C28" s="156">
        <f>+Data1_BS!H28</f>
        <v>39.471874405000563</v>
      </c>
      <c r="D28" s="156">
        <f>+Data1_BS!I28</f>
        <v>39.433316751999882</v>
      </c>
      <c r="E28" s="157">
        <f>+Data1_BS!J28</f>
        <v>38.465710285999876</v>
      </c>
      <c r="F28" s="156">
        <f>+Data1_BS!K28</f>
        <v>43.398376401000178</v>
      </c>
      <c r="G28" s="156">
        <f>+Data1_BS!L28</f>
        <v>40.411692402999961</v>
      </c>
      <c r="H28" s="156">
        <f>+Data1_BS!M28</f>
        <v>41.29212837099999</v>
      </c>
      <c r="I28" s="157">
        <f>+Data1_BS!N28</f>
        <v>27.743743646000098</v>
      </c>
      <c r="J28" s="156">
        <f>+Data1_BS!O28</f>
        <v>29.320009246000723</v>
      </c>
      <c r="K28" s="156">
        <f>+Data1_BS!P28</f>
        <v>29.006060248000495</v>
      </c>
      <c r="L28" s="156">
        <f>+Data1_BS!Q28</f>
        <v>30.017239287000507</v>
      </c>
      <c r="M28" s="157">
        <f>+Data1_BS!R28</f>
        <v>30.836550449000583</v>
      </c>
      <c r="N28" s="156">
        <f>+Data1_BS!S28</f>
        <v>31.596116816000062</v>
      </c>
    </row>
    <row r="29" spans="1:14">
      <c r="A29" s="73" t="str">
        <f>IF(VLOOKUP($M$1,Sheet1!$B$2:$C$4,2,FALSE)=1,Data1_BS!A29,Data1_BS!B29)</f>
        <v>Total liabilities</v>
      </c>
      <c r="B29" s="158">
        <f>+Data1_BS!G29</f>
        <v>2057.2675791640017</v>
      </c>
      <c r="C29" s="158">
        <f>+Data1_BS!H29</f>
        <v>2028.6580622640017</v>
      </c>
      <c r="D29" s="158">
        <f>+Data1_BS!I29</f>
        <v>2076.3101572860019</v>
      </c>
      <c r="E29" s="159">
        <f>+Data1_BS!J29</f>
        <v>1969.3055106360018</v>
      </c>
      <c r="F29" s="158">
        <f>+Data1_BS!K29</f>
        <v>2246.7928478820022</v>
      </c>
      <c r="G29" s="158">
        <f>+Data1_BS!L29</f>
        <v>2070.3180705080017</v>
      </c>
      <c r="H29" s="158">
        <f>+Data1_BS!M29</f>
        <v>1931.1007628420018</v>
      </c>
      <c r="I29" s="159">
        <f>+Data1_BS!N29</f>
        <v>1901.1134418150016</v>
      </c>
      <c r="J29" s="158">
        <f>+Data1_BS!O29</f>
        <v>1955.6551658790017</v>
      </c>
      <c r="K29" s="158">
        <f>+Data1_BS!P29</f>
        <v>1845.6040380850015</v>
      </c>
      <c r="L29" s="158">
        <f>+Data1_BS!Q29</f>
        <v>1946.4027428050017</v>
      </c>
      <c r="M29" s="159">
        <f>+Data1_BS!R29</f>
        <v>1982.3675790880018</v>
      </c>
      <c r="N29" s="158">
        <f>+Data1_BS!S29</f>
        <v>2217.667058287002</v>
      </c>
    </row>
    <row r="30" spans="1:14" ht="18" customHeight="1">
      <c r="A30" s="74" t="str">
        <f>IF(VLOOKUP($M$1,Sheet1!$B$2:$C$4,2,FALSE)=1,Data1_BS!A30,Data1_BS!B30)</f>
        <v>Equity</v>
      </c>
      <c r="B30" s="160"/>
      <c r="C30" s="160"/>
      <c r="D30" s="160"/>
      <c r="E30" s="161"/>
      <c r="F30" s="160"/>
      <c r="G30" s="160"/>
      <c r="H30" s="160"/>
      <c r="I30" s="161"/>
      <c r="J30" s="160"/>
      <c r="K30" s="160"/>
      <c r="L30" s="160"/>
      <c r="M30" s="161"/>
      <c r="N30" s="160"/>
    </row>
    <row r="31" spans="1:14" s="2" customFormat="1" ht="12" customHeight="1">
      <c r="A31" s="413" t="str">
        <f>IF(VLOOKUP($M$1,Sheet1!$B$2:$C$4,2,FALSE)=1,Data1_BS!A31,Data1_BS!B31)</f>
        <v>Equity attributable to owners of the Company</v>
      </c>
      <c r="B31" s="154">
        <f>+Data1_BS!G31</f>
        <v>1070.7961205530009</v>
      </c>
      <c r="C31" s="154">
        <f>+Data1_BS!H31</f>
        <v>1165.716103335001</v>
      </c>
      <c r="D31" s="154">
        <f>+Data1_BS!I31</f>
        <v>1290.6229595970012</v>
      </c>
      <c r="E31" s="155">
        <f>+Data1_BS!J31</f>
        <v>1249.6535743810011</v>
      </c>
      <c r="F31" s="154">
        <f>+Data1_BS!K31</f>
        <v>1306.8499887880012</v>
      </c>
      <c r="G31" s="154">
        <f>+Data1_BS!L31</f>
        <v>1326.1099844240011</v>
      </c>
      <c r="H31" s="154">
        <f>+Data1_BS!M31</f>
        <v>1377.1883007320012</v>
      </c>
      <c r="I31" s="155">
        <f>+Data1_BS!N31</f>
        <v>1292.4361250230011</v>
      </c>
      <c r="J31" s="154">
        <f>+Data1_BS!O31</f>
        <v>1414.6724281490012</v>
      </c>
      <c r="K31" s="154">
        <f>+Data1_BS!P31</f>
        <v>1522.3021734310014</v>
      </c>
      <c r="L31" s="154">
        <f>+Data1_BS!Q31</f>
        <v>1630.5452435860016</v>
      </c>
      <c r="M31" s="155">
        <f>+Data1_BS!R31</f>
        <v>1610.9453519150015</v>
      </c>
      <c r="N31" s="154">
        <f>+Data1_BS!S31</f>
        <v>1652.7606811100015</v>
      </c>
    </row>
    <row r="32" spans="1:14" s="2" customFormat="1" ht="12" customHeight="1">
      <c r="A32" s="71" t="str">
        <f>IF(VLOOKUP($M$1,Sheet1!$B$2:$C$4,2,FALSE)=1,Data1_BS!A32,Data1_BS!B32)</f>
        <v>Ordinary shares</v>
      </c>
      <c r="B32" s="156">
        <f>+Data1_BS!G32</f>
        <v>61.115070000000053</v>
      </c>
      <c r="C32" s="156">
        <f>+Data1_BS!H32</f>
        <v>61.115070000000053</v>
      </c>
      <c r="D32" s="156">
        <f>+Data1_BS!I32</f>
        <v>61.115070000000053</v>
      </c>
      <c r="E32" s="157">
        <f>+Data1_BS!J32</f>
        <v>61.115070000000053</v>
      </c>
      <c r="F32" s="156">
        <f>+Data1_BS!K32</f>
        <v>61.115070000000053</v>
      </c>
      <c r="G32" s="156">
        <f>+Data1_BS!L32</f>
        <v>61.115070000000053</v>
      </c>
      <c r="H32" s="156">
        <f>+Data1_BS!M32</f>
        <v>61.115070000000053</v>
      </c>
      <c r="I32" s="157">
        <f>+Data1_BS!N32</f>
        <v>61.115070000000053</v>
      </c>
      <c r="J32" s="156">
        <f>+Data1_BS!O32</f>
        <v>61.115070000000053</v>
      </c>
      <c r="K32" s="156">
        <f>+Data1_BS!P32</f>
        <v>61.115070000000053</v>
      </c>
      <c r="L32" s="156">
        <f>+Data1_BS!Q32</f>
        <v>61.115070000000053</v>
      </c>
      <c r="M32" s="157">
        <f>+Data1_BS!R32</f>
        <v>61.115070000000053</v>
      </c>
      <c r="N32" s="156">
        <f>+Data1_BS!S32</f>
        <v>61.115070000000053</v>
      </c>
    </row>
    <row r="33" spans="1:15" s="2" customFormat="1" ht="12" customHeight="1">
      <c r="A33" s="71" t="str">
        <f>IF(VLOOKUP($M$1,Sheet1!$B$2:$C$4,2,FALSE)=1,Data1_BS!A33,Data1_BS!B33)</f>
        <v>Capital surplus</v>
      </c>
      <c r="B33" s="156">
        <f>+Data1_BS!G33</f>
        <v>117.7666793660001</v>
      </c>
      <c r="C33" s="156">
        <f>+Data1_BS!H33</f>
        <v>117.7666793660001</v>
      </c>
      <c r="D33" s="156">
        <f>+Data1_BS!I33</f>
        <v>117.7666793660001</v>
      </c>
      <c r="E33" s="157">
        <f>+Data1_BS!J33</f>
        <v>117.7666793660001</v>
      </c>
      <c r="F33" s="156">
        <f>+Data1_BS!K33</f>
        <v>117.7666793660001</v>
      </c>
      <c r="G33" s="156">
        <f>+Data1_BS!L33</f>
        <v>117.7666793660001</v>
      </c>
      <c r="H33" s="156">
        <f>+Data1_BS!M33</f>
        <v>117.7666793660001</v>
      </c>
      <c r="I33" s="157">
        <f>+Data1_BS!N33</f>
        <v>117.7666793660001</v>
      </c>
      <c r="J33" s="156">
        <f>+Data1_BS!O33</f>
        <v>117.7666793660001</v>
      </c>
      <c r="K33" s="156">
        <f>+Data1_BS!P33</f>
        <v>117.7666793660001</v>
      </c>
      <c r="L33" s="156">
        <f>+Data1_BS!Q33</f>
        <v>117.7666793660001</v>
      </c>
      <c r="M33" s="157">
        <f>+Data1_BS!R33</f>
        <v>108.0884017520001</v>
      </c>
      <c r="N33" s="156">
        <f>+Data1_BS!S33</f>
        <v>107.12463615200009</v>
      </c>
    </row>
    <row r="34" spans="1:15" s="2" customFormat="1" ht="12">
      <c r="A34" s="75" t="str">
        <f>IF(VLOOKUP($M$1,Sheet1!$B$2:$C$4,2,FALSE)=1,Data1_BS!A34,Data1_BS!B34)</f>
        <v>Capital adjustment</v>
      </c>
      <c r="B34" s="156">
        <f>+Data1_BS!G34</f>
        <v>-15.659834625000014</v>
      </c>
      <c r="C34" s="156">
        <f>+Data1_BS!H34</f>
        <v>-15.791518695000015</v>
      </c>
      <c r="D34" s="156">
        <f>+Data1_BS!I34</f>
        <v>-22.603754494000022</v>
      </c>
      <c r="E34" s="157">
        <f>+Data1_BS!J34</f>
        <v>-34.296293023000032</v>
      </c>
      <c r="F34" s="156">
        <f>+Data1_BS!K34</f>
        <v>-28.556443813000026</v>
      </c>
      <c r="G34" s="156">
        <f>+Data1_BS!L34</f>
        <v>-36.59434046100003</v>
      </c>
      <c r="H34" s="156">
        <f>+Data1_BS!M34</f>
        <v>-37.758842829000031</v>
      </c>
      <c r="I34" s="157">
        <f>+Data1_BS!N34</f>
        <v>-39.528618669000032</v>
      </c>
      <c r="J34" s="156">
        <f>+Data1_BS!O34</f>
        <v>-40.200517005000037</v>
      </c>
      <c r="K34" s="156">
        <f>+Data1_BS!P34</f>
        <v>-19.641547096000018</v>
      </c>
      <c r="L34" s="156">
        <f>+Data1_BS!Q34</f>
        <v>-16.030278827000014</v>
      </c>
      <c r="M34" s="157">
        <f>+Data1_BS!R34</f>
        <v>-29.410811836000025</v>
      </c>
      <c r="N34" s="156">
        <f>+Data1_BS!S34</f>
        <v>-29.410811836000025</v>
      </c>
    </row>
    <row r="35" spans="1:15" s="2" customFormat="1" ht="12" customHeight="1">
      <c r="A35" s="75" t="str">
        <f>IF(VLOOKUP($M$1,Sheet1!$B$2:$C$4,2,FALSE)=1,Data1_BS!A35,Data1_BS!B35)</f>
        <v>Accumulated other comprehensive income(loss)</v>
      </c>
      <c r="B35" s="156">
        <f>+Data1_BS!G35</f>
        <v>16.633973727000015</v>
      </c>
      <c r="C35" s="156">
        <f>+Data1_BS!H35</f>
        <v>42.357315850000035</v>
      </c>
      <c r="D35" s="156">
        <f>+Data1_BS!I35</f>
        <v>92.477297205000085</v>
      </c>
      <c r="E35" s="157">
        <f>+Data1_BS!J35</f>
        <v>25.053811764000024</v>
      </c>
      <c r="F35" s="156">
        <f>+Data1_BS!K35</f>
        <v>75.391295393000064</v>
      </c>
      <c r="G35" s="156">
        <f>+Data1_BS!L35</f>
        <v>61.953016523000052</v>
      </c>
      <c r="H35" s="156">
        <f>+Data1_BS!M35</f>
        <v>54.665844021000048</v>
      </c>
      <c r="I35" s="157">
        <f>+Data1_BS!N35</f>
        <v>-26.258559358000024</v>
      </c>
      <c r="J35" s="156">
        <f>+Data1_BS!O35</f>
        <v>22.769115580000019</v>
      </c>
      <c r="K35" s="156">
        <f>+Data1_BS!P35</f>
        <v>18.640453570000016</v>
      </c>
      <c r="L35" s="156">
        <f>+Data1_BS!Q35</f>
        <v>68.856622664000056</v>
      </c>
      <c r="M35" s="157">
        <f>+Data1_BS!R35</f>
        <v>65.158275664000058</v>
      </c>
      <c r="N35" s="156">
        <f>+Data1_BS!S35</f>
        <v>89.947053153000084</v>
      </c>
    </row>
    <row r="36" spans="1:15" s="2" customFormat="1" ht="12" customHeight="1">
      <c r="A36" s="71" t="str">
        <f>IF(VLOOKUP($M$1,Sheet1!$B$2:$C$4,2,FALSE)=1,Data1_BS!A36,Data1_BS!B36)</f>
        <v>Retained earnings</v>
      </c>
      <c r="B36" s="156">
        <f>+Data1_BS!G36</f>
        <v>890.94023208500084</v>
      </c>
      <c r="C36" s="156">
        <f>+Data1_BS!H36</f>
        <v>960.26855681400082</v>
      </c>
      <c r="D36" s="156">
        <f>+Data1_BS!I36</f>
        <v>1041.8676675200009</v>
      </c>
      <c r="E36" s="157">
        <f>+Data1_BS!J36</f>
        <v>1080.014306274001</v>
      </c>
      <c r="F36" s="156">
        <f>+Data1_BS!K36</f>
        <v>1081.133387842001</v>
      </c>
      <c r="G36" s="156">
        <f>+Data1_BS!L36</f>
        <v>1121.8695589960009</v>
      </c>
      <c r="H36" s="156">
        <f>+Data1_BS!M36</f>
        <v>1181.399550174001</v>
      </c>
      <c r="I36" s="157">
        <f>+Data1_BS!N36</f>
        <v>1179.3415536840012</v>
      </c>
      <c r="J36" s="156">
        <f>+Data1_BS!O36</f>
        <v>1253.2220802080012</v>
      </c>
      <c r="K36" s="156">
        <f>+Data1_BS!P36</f>
        <v>1344.4215175910012</v>
      </c>
      <c r="L36" s="156">
        <f>+Data1_BS!Q36</f>
        <v>1398.8371503830012</v>
      </c>
      <c r="M36" s="157">
        <f>+Data1_BS!R36</f>
        <v>1405.9944163350012</v>
      </c>
      <c r="N36" s="156">
        <f>+Data1_BS!S36</f>
        <v>1423.9847336410012</v>
      </c>
    </row>
    <row r="37" spans="1:15" s="2" customFormat="1" ht="12" customHeight="1">
      <c r="A37" s="72" t="str">
        <f>IF(VLOOKUP($M$1,Sheet1!$B$2:$C$4,2,FALSE)=1,Data1_BS!A37,Data1_BS!B37)</f>
        <v>Non-controlling interests</v>
      </c>
      <c r="B37" s="156">
        <f>+Data1_BS!G37</f>
        <v>29.716077076000026</v>
      </c>
      <c r="C37" s="156">
        <f>+Data1_BS!H37</f>
        <v>22.517523971000021</v>
      </c>
      <c r="D37" s="156">
        <f>+Data1_BS!I37</f>
        <v>37.528278569000037</v>
      </c>
      <c r="E37" s="157">
        <f>+Data1_BS!J37</f>
        <v>68.754502288000054</v>
      </c>
      <c r="F37" s="156">
        <f>+Data1_BS!K37</f>
        <v>567.89990751400046</v>
      </c>
      <c r="G37" s="156">
        <f>+Data1_BS!L37</f>
        <v>572.57176522300051</v>
      </c>
      <c r="H37" s="156">
        <f>+Data1_BS!M37</f>
        <v>592.80463321500054</v>
      </c>
      <c r="I37" s="157">
        <f>+Data1_BS!N37</f>
        <v>564.89168196200046</v>
      </c>
      <c r="J37" s="156">
        <f>+Data1_BS!O37</f>
        <v>626.34310914000059</v>
      </c>
      <c r="K37" s="156">
        <f>+Data1_BS!P37</f>
        <v>695.96399083100061</v>
      </c>
      <c r="L37" s="156">
        <f>+Data1_BS!Q37</f>
        <v>737.79130386700069</v>
      </c>
      <c r="M37" s="157">
        <f>+Data1_BS!R37</f>
        <v>695.54388441100059</v>
      </c>
      <c r="N37" s="156">
        <f>+Data1_BS!S37</f>
        <v>712.95701904700059</v>
      </c>
    </row>
    <row r="38" spans="1:15">
      <c r="A38" s="73" t="str">
        <f>IF(VLOOKUP($M$1,Sheet1!$B$2:$C$4,2,FALSE)=1,Data1_BS!A38,Data1_BS!B38)</f>
        <v>Total equity</v>
      </c>
      <c r="B38" s="158">
        <f>+Data1_BS!G38</f>
        <v>1606.2028900300015</v>
      </c>
      <c r="C38" s="158">
        <f>+Data1_BS!H38</f>
        <v>1716.1142241850016</v>
      </c>
      <c r="D38" s="158">
        <f>+Data1_BS!I38</f>
        <v>1872.9704692600017</v>
      </c>
      <c r="E38" s="159">
        <f>+Data1_BS!J38</f>
        <v>1800.9436178250016</v>
      </c>
      <c r="F38" s="158">
        <f>+Data1_BS!K38</f>
        <v>1874.7498963020016</v>
      </c>
      <c r="G38" s="158">
        <f>+Data1_BS!L38</f>
        <v>1898.6817496470017</v>
      </c>
      <c r="H38" s="158">
        <f>+Data1_BS!M38</f>
        <v>1969.9929339470018</v>
      </c>
      <c r="I38" s="159">
        <f>+Data1_BS!N38</f>
        <v>1857.3278069850016</v>
      </c>
      <c r="J38" s="158">
        <f>+Data1_BS!O38</f>
        <v>2041.0155372890017</v>
      </c>
      <c r="K38" s="158">
        <f>+Data1_BS!P38</f>
        <v>2218.2661642620019</v>
      </c>
      <c r="L38" s="158">
        <f>+Data1_BS!Q38</f>
        <v>2368.3365474530019</v>
      </c>
      <c r="M38" s="159">
        <f>+Data1_BS!R38</f>
        <v>2306.4892363260019</v>
      </c>
      <c r="N38" s="158">
        <f>+Data1_BS!S38</f>
        <v>2365.7177001570021</v>
      </c>
    </row>
    <row r="39" spans="1:15" ht="13.5" thickBot="1">
      <c r="A39" s="76" t="str">
        <f>IF(VLOOKUP($M$1,Sheet1!$B$2:$C$4,2,FALSE)=1,Data1_BS!A39,Data1_BS!B39)</f>
        <v>Total liabilities and equity</v>
      </c>
      <c r="B39" s="172">
        <f>+Data1_BS!G39</f>
        <v>3663.4704691940033</v>
      </c>
      <c r="C39" s="172">
        <f>+Data1_BS!H39</f>
        <v>3744.7722864490033</v>
      </c>
      <c r="D39" s="172">
        <f>+Data1_BS!I39</f>
        <v>3949.2806265460035</v>
      </c>
      <c r="E39" s="173">
        <f>+Data1_BS!J39</f>
        <v>3770.2491284610032</v>
      </c>
      <c r="F39" s="172">
        <f>+Data1_BS!K39</f>
        <v>4121.5427441840038</v>
      </c>
      <c r="G39" s="172">
        <f>+Data1_BS!L39</f>
        <v>3968.9998201550034</v>
      </c>
      <c r="H39" s="172">
        <f>+Data1_BS!M39</f>
        <v>3901.0936967890034</v>
      </c>
      <c r="I39" s="173">
        <f>+Data1_BS!N39</f>
        <v>3758.4412488000035</v>
      </c>
      <c r="J39" s="172">
        <f>+Data1_BS!O39</f>
        <v>3996.6707031680035</v>
      </c>
      <c r="K39" s="172">
        <f>+Data1_BS!P39</f>
        <v>4063.8702023470037</v>
      </c>
      <c r="L39" s="172">
        <f>+Data1_BS!Q39</f>
        <v>4314.7392902580041</v>
      </c>
      <c r="M39" s="173">
        <f>+Data1_BS!R39</f>
        <v>4288.8568154140039</v>
      </c>
      <c r="N39" s="172">
        <f>+Data1_BS!S39</f>
        <v>4583.3847584440036</v>
      </c>
    </row>
    <row r="40" spans="1:15" ht="5.25" customHeight="1">
      <c r="A40" s="171"/>
      <c r="B40" s="162"/>
      <c r="C40" s="162"/>
      <c r="D40" s="162"/>
      <c r="E40" s="162"/>
      <c r="F40" s="162"/>
      <c r="G40" s="162"/>
      <c r="H40" s="162"/>
      <c r="I40" s="162"/>
      <c r="J40" s="162"/>
      <c r="K40" s="162"/>
      <c r="L40" s="162"/>
      <c r="M40" s="162"/>
      <c r="N40" s="162"/>
      <c r="O40" s="3"/>
    </row>
    <row r="41" spans="1:15" ht="12" customHeight="1" thickBot="1">
      <c r="A41" s="66" t="s">
        <v>713</v>
      </c>
      <c r="B41" s="162"/>
      <c r="C41" s="162"/>
      <c r="D41" s="162"/>
      <c r="E41" s="162"/>
      <c r="F41" s="162"/>
      <c r="G41" s="162"/>
      <c r="H41" s="162"/>
      <c r="I41" s="162"/>
      <c r="J41" s="162"/>
      <c r="K41" s="162"/>
      <c r="L41" s="162"/>
      <c r="M41" s="162"/>
      <c r="N41" s="162"/>
      <c r="O41" s="3"/>
    </row>
    <row r="42" spans="1:15" s="2" customFormat="1" ht="12" customHeight="1">
      <c r="A42" s="77" t="str">
        <f>IF(VLOOKUP($M$1,Sheet1!$B$2:$C$4,2,FALSE)=1,Data1_BS!A41,Data1_BS!B41)</f>
        <v>Net Debt</v>
      </c>
      <c r="B42" s="163">
        <f>+Data1_BS!G41</f>
        <v>924.63417336600003</v>
      </c>
      <c r="C42" s="163">
        <f>+Data1_BS!H41</f>
        <v>739.43431566400011</v>
      </c>
      <c r="D42" s="163">
        <f>+Data1_BS!I41</f>
        <v>662.39110202800066</v>
      </c>
      <c r="E42" s="164">
        <f>+Data1_BS!J41</f>
        <v>616.05215066000051</v>
      </c>
      <c r="F42" s="163">
        <f>+Data1_BS!K41</f>
        <v>749.21393140900068</v>
      </c>
      <c r="G42" s="163">
        <f>+Data1_BS!L41</f>
        <v>673.24812673400061</v>
      </c>
      <c r="H42" s="163">
        <f>+Data1_BS!M41</f>
        <v>495.77166976500052</v>
      </c>
      <c r="I42" s="164">
        <f>+Data1_BS!N41</f>
        <v>392.45954991100035</v>
      </c>
      <c r="J42" s="163">
        <f>+Data1_BS!O41</f>
        <v>380.24321401599985</v>
      </c>
      <c r="K42" s="163">
        <f>+Data1_BS!P41</f>
        <v>96.790631095999743</v>
      </c>
      <c r="L42" s="163">
        <f>+Data1_BS!Q41</f>
        <v>2.1333291059995645</v>
      </c>
      <c r="M42" s="164">
        <f>+Data1_BS!R41</f>
        <v>7.7298074609996092</v>
      </c>
      <c r="N42" s="163">
        <f>+Data1_BS!S41</f>
        <v>263.41789645100016</v>
      </c>
    </row>
    <row r="43" spans="1:15" s="2" customFormat="1" ht="12" customHeight="1">
      <c r="A43" s="78" t="str">
        <f>IF(VLOOKUP($M$1,Sheet1!$B$2:$C$4,2,FALSE)=1,Data1_BS!A42,Data1_BS!B42)</f>
        <v>Current ratio (%)</v>
      </c>
      <c r="B43" s="165">
        <f>+Data1_BS!G42</f>
        <v>187.92091361023247</v>
      </c>
      <c r="C43" s="165">
        <f>+Data1_BS!H42</f>
        <v>172.66683829140891</v>
      </c>
      <c r="D43" s="165">
        <f>+Data1_BS!I42</f>
        <v>174.8038935409075</v>
      </c>
      <c r="E43" s="166">
        <f>+Data1_BS!J42</f>
        <v>182.94792530052649</v>
      </c>
      <c r="F43" s="165">
        <f>+Data1_BS!K42</f>
        <v>169.22055458704085</v>
      </c>
      <c r="G43" s="165">
        <f>+Data1_BS!L42</f>
        <v>173.53435999079349</v>
      </c>
      <c r="H43" s="165">
        <f>+Data1_BS!M42</f>
        <v>186.68977722424395</v>
      </c>
      <c r="I43" s="166">
        <f>+Data1_BS!N42</f>
        <v>169.37543195088435</v>
      </c>
      <c r="J43" s="165">
        <f>+Data1_BS!O42</f>
        <v>184.45484887540272</v>
      </c>
      <c r="K43" s="165">
        <f>+Data1_BS!P42</f>
        <v>207.43305799746534</v>
      </c>
      <c r="L43" s="165">
        <f>+Data1_BS!Q42</f>
        <v>209.87716186320071</v>
      </c>
      <c r="M43" s="166">
        <f>+Data1_BS!R42</f>
        <v>194.13661406303709</v>
      </c>
      <c r="N43" s="165">
        <f>+Data1_BS!S42</f>
        <v>183.73788488168404</v>
      </c>
    </row>
    <row r="44" spans="1:15" s="2" customFormat="1" ht="12" customHeight="1">
      <c r="A44" s="78" t="str">
        <f>IF(VLOOKUP($M$1,Sheet1!$B$2:$C$4,2,FALSE)=1,Data1_BS!A43,Data1_BS!B43)</f>
        <v>Debt to equity ratio (%)</v>
      </c>
      <c r="B44" s="165">
        <f>+Data1_BS!G43</f>
        <v>128.08267199205295</v>
      </c>
      <c r="C44" s="165">
        <f>+Data1_BS!H43</f>
        <v>118.21229809032263</v>
      </c>
      <c r="D44" s="165">
        <f>+Data1_BS!I43</f>
        <v>110.85653465248377</v>
      </c>
      <c r="E44" s="166">
        <f>+Data1_BS!J43</f>
        <v>109.34853768572337</v>
      </c>
      <c r="F44" s="165">
        <f>+Data1_BS!K43</f>
        <v>119.84493784018157</v>
      </c>
      <c r="G44" s="165">
        <f>+Data1_BS!L43</f>
        <v>109.03976250326892</v>
      </c>
      <c r="H44" s="165">
        <f>+Data1_BS!M43</f>
        <v>98.025771035275895</v>
      </c>
      <c r="I44" s="166">
        <f>+Data1_BS!N43</f>
        <v>102.35745325436531</v>
      </c>
      <c r="J44" s="165">
        <f>+Data1_BS!O43</f>
        <v>95.817750044010893</v>
      </c>
      <c r="K44" s="165">
        <f>+Data1_BS!P43</f>
        <v>83.200297052676646</v>
      </c>
      <c r="L44" s="165">
        <f>+Data1_BS!Q43</f>
        <v>82.184381476451733</v>
      </c>
      <c r="M44" s="166">
        <f>+Data1_BS!R43</f>
        <v>85.947402132502802</v>
      </c>
      <c r="N44" s="165">
        <f>+Data1_BS!S43</f>
        <v>93.741829726337386</v>
      </c>
    </row>
    <row r="45" spans="1:15" s="2" customFormat="1" ht="12" customHeight="1" thickBot="1">
      <c r="A45" s="79" t="str">
        <f>IF(VLOOKUP($M$1,Sheet1!$B$2:$C$4,2,FALSE)=1,Data1_BS!A45,Data1_BS!B45)</f>
        <v>Inventory turnover</v>
      </c>
      <c r="B45" s="167">
        <f>+Data1_BS!G45</f>
        <v>2.6253026335010605</v>
      </c>
      <c r="C45" s="167">
        <f>+Data1_BS!H45</f>
        <v>2.676750762190252</v>
      </c>
      <c r="D45" s="167">
        <f>+Data1_BS!I45</f>
        <v>2.6514535412799658</v>
      </c>
      <c r="E45" s="168">
        <f>+Data1_BS!J45</f>
        <v>2.5161832301472828</v>
      </c>
      <c r="F45" s="167">
        <f>+Data1_BS!K45</f>
        <v>2.5620094631972994</v>
      </c>
      <c r="G45" s="167">
        <f>+Data1_BS!L45</f>
        <v>2.2754361008565849</v>
      </c>
      <c r="H45" s="167">
        <f>+Data1_BS!M45</f>
        <v>2.3802734116959097</v>
      </c>
      <c r="I45" s="168">
        <f>+Data1_BS!N45</f>
        <v>2.3451158932401244</v>
      </c>
      <c r="J45" s="167">
        <f>+Data1_BS!O45</f>
        <v>2.572885797131137</v>
      </c>
      <c r="K45" s="167">
        <f>+Data1_BS!P45</f>
        <v>2.9906461938424336</v>
      </c>
      <c r="L45" s="167">
        <f>+Data1_BS!Q45</f>
        <v>3.0382566024665105</v>
      </c>
      <c r="M45" s="168">
        <f>+Data1_BS!R45</f>
        <v>2.7869226625659231</v>
      </c>
      <c r="N45" s="167">
        <f>+Data1_BS!S45</f>
        <v>2.7080249792800584</v>
      </c>
    </row>
    <row r="46" spans="1:15">
      <c r="A46" s="80" t="str">
        <f>IF(VLOOKUP($M$1,Sheet1!$B$2:$C$4,2,FALSE)=1,Data1_BS!A46,Data1_BS!B46)</f>
        <v>Financial year ends Dec. 31</v>
      </c>
      <c r="B46" s="82"/>
      <c r="C46" s="82"/>
      <c r="D46" s="82"/>
      <c r="E46" s="82"/>
      <c r="F46" s="82"/>
      <c r="G46" s="82"/>
      <c r="H46" s="82"/>
      <c r="I46" s="82"/>
      <c r="J46" s="82"/>
      <c r="K46" s="82"/>
      <c r="L46" s="82"/>
      <c r="M46" s="82"/>
      <c r="N46" s="82"/>
    </row>
    <row r="47" spans="1:15" ht="3.75" customHeight="1">
      <c r="A47" s="80"/>
      <c r="B47" s="82"/>
      <c r="C47" s="82"/>
      <c r="D47" s="82"/>
      <c r="E47" s="82"/>
      <c r="F47" s="82"/>
      <c r="G47" s="82"/>
      <c r="H47" s="82"/>
      <c r="I47" s="82"/>
      <c r="J47" s="82"/>
      <c r="K47" s="82"/>
      <c r="L47" s="82"/>
      <c r="M47" s="82"/>
      <c r="N47" s="82"/>
    </row>
    <row r="48" spans="1:15">
      <c r="A48" s="239" t="str">
        <f>IF(VLOOKUP($M$1,Sheet1!$B$2:$C$4,2,FALSE)=1,Data1_BS!A48,Data1_BS!B48)</f>
        <v>Note:</v>
      </c>
      <c r="B48" s="88"/>
      <c r="C48" s="88"/>
      <c r="D48" s="88"/>
      <c r="E48" s="82"/>
      <c r="F48" s="88"/>
      <c r="G48" s="88"/>
      <c r="H48" s="88"/>
      <c r="I48" s="82"/>
      <c r="J48" s="88"/>
      <c r="K48" s="88"/>
      <c r="L48" s="88"/>
      <c r="M48" s="82"/>
      <c r="N48" s="88"/>
    </row>
    <row r="49" spans="1:14">
      <c r="A49" s="80" t="str">
        <f>IF(VLOOKUP($M$1,Sheet1!$B$2:$C$4,2,FALSE)=1,Data1_BS!A49,Data1_BS!B49)</f>
        <v>Current ratio: Current assets / Current liabilities</v>
      </c>
      <c r="B49" s="89"/>
      <c r="C49" s="89"/>
      <c r="D49" s="89"/>
      <c r="E49" s="82"/>
      <c r="F49" s="89"/>
      <c r="G49" s="89"/>
      <c r="H49" s="89"/>
      <c r="I49" s="82"/>
      <c r="J49" s="89"/>
      <c r="K49" s="89"/>
      <c r="L49" s="89"/>
      <c r="M49" s="82"/>
      <c r="N49" s="89"/>
    </row>
    <row r="50" spans="1:14">
      <c r="A50" s="80" t="str">
        <f>IF(VLOOKUP($M$1,Sheet1!$B$2:$C$4,2,FALSE)=1,Data1_BS!A50,Data1_BS!B50)</f>
        <v>Debt to equity ratio: Total liabiilities / Total equity</v>
      </c>
      <c r="B50" s="82"/>
      <c r="C50" s="82"/>
      <c r="D50" s="82"/>
      <c r="E50" s="82"/>
      <c r="F50" s="82"/>
      <c r="G50" s="82"/>
      <c r="H50" s="82"/>
      <c r="I50" s="82"/>
      <c r="J50" s="82"/>
      <c r="K50" s="82"/>
      <c r="L50" s="82"/>
      <c r="M50" s="82"/>
      <c r="N50" s="82"/>
    </row>
    <row r="51" spans="1:14">
      <c r="A51" s="80" t="str">
        <f>IF(VLOOKUP($M$1,Sheet1!$B$2:$C$4,2,FALSE)=1,Data1_BS!A52,Data1_BS!B52)</f>
        <v>Inventory turnover: COGS / avg. inventories</v>
      </c>
      <c r="B51" s="82"/>
      <c r="C51" s="82"/>
      <c r="D51" s="82"/>
      <c r="E51" s="82"/>
      <c r="F51" s="82"/>
      <c r="G51" s="82"/>
      <c r="H51" s="82"/>
      <c r="I51" s="82"/>
      <c r="J51" s="82"/>
      <c r="K51" s="82"/>
      <c r="L51" s="82"/>
      <c r="M51" s="82"/>
      <c r="N51" s="82"/>
    </row>
  </sheetData>
  <mergeCells count="1">
    <mergeCell ref="M1:N1"/>
  </mergeCells>
  <phoneticPr fontId="3" type="noConversion"/>
  <dataValidations count="1">
    <dataValidation type="list" allowBlank="1" showInputMessage="1" showErrorMessage="1" sqref="M1" xr:uid="{00000000-0002-0000-0100-000000000000}">
      <formula1>언어_Language</formula1>
    </dataValidation>
  </dataValidations>
  <pageMargins left="0.7" right="0.7" top="0.75" bottom="0.75" header="0.3" footer="0.3"/>
  <pageSetup paperSize="9" scale="83" orientation="portrait" r:id="rId1"/>
  <headerFooter>
    <oddFooter>&amp;C&amp;G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01"/>
  <sheetViews>
    <sheetView topLeftCell="A32" zoomScale="85" zoomScaleNormal="85" workbookViewId="0">
      <selection activeCell="B57" sqref="B57"/>
    </sheetView>
  </sheetViews>
  <sheetFormatPr defaultRowHeight="16.5"/>
  <cols>
    <col min="1" max="1" width="85.125" bestFit="1" customWidth="1"/>
    <col min="2" max="4" width="17.75" bestFit="1" customWidth="1"/>
  </cols>
  <sheetData>
    <row r="1" spans="1:4">
      <c r="A1" s="102" t="s">
        <v>195</v>
      </c>
      <c r="B1" s="103"/>
      <c r="C1" s="103"/>
      <c r="D1" s="103"/>
    </row>
    <row r="2" spans="1:4">
      <c r="A2" s="104" t="s">
        <v>281</v>
      </c>
      <c r="B2" s="103"/>
      <c r="C2" s="103"/>
      <c r="D2" s="103"/>
    </row>
    <row r="3" spans="1:4">
      <c r="A3" s="104" t="s">
        <v>260</v>
      </c>
      <c r="B3" s="103"/>
      <c r="C3" s="103"/>
      <c r="D3" s="103"/>
    </row>
    <row r="4" spans="1:4">
      <c r="A4" s="104" t="s">
        <v>261</v>
      </c>
      <c r="B4" s="103"/>
      <c r="C4" s="103"/>
      <c r="D4" s="103"/>
    </row>
    <row r="5" spans="1:4">
      <c r="A5" s="105" t="s">
        <v>125</v>
      </c>
      <c r="B5" s="103"/>
      <c r="C5" s="103"/>
      <c r="D5" s="103"/>
    </row>
    <row r="6" spans="1:4">
      <c r="A6" s="127"/>
      <c r="B6" s="128" t="s">
        <v>282</v>
      </c>
      <c r="C6" s="128" t="s">
        <v>184</v>
      </c>
      <c r="D6" s="129" t="s">
        <v>185</v>
      </c>
    </row>
    <row r="7" spans="1:4">
      <c r="A7" s="108" t="s">
        <v>200</v>
      </c>
      <c r="B7" s="111"/>
      <c r="C7" s="111"/>
      <c r="D7" s="112"/>
    </row>
    <row r="8" spans="1:4">
      <c r="A8" s="108" t="s">
        <v>201</v>
      </c>
      <c r="B8" s="109">
        <v>1686064222278</v>
      </c>
      <c r="C8" s="109">
        <v>1586809823252</v>
      </c>
      <c r="D8" s="110">
        <v>1337877928572</v>
      </c>
    </row>
    <row r="9" spans="1:4">
      <c r="A9" s="108" t="s">
        <v>202</v>
      </c>
      <c r="B9" s="109">
        <v>470647552525</v>
      </c>
      <c r="C9" s="109">
        <v>232032424388</v>
      </c>
      <c r="D9" s="110">
        <v>149001324731</v>
      </c>
    </row>
    <row r="10" spans="1:4">
      <c r="A10" s="108" t="s">
        <v>203</v>
      </c>
      <c r="B10" s="109">
        <v>518469298078</v>
      </c>
      <c r="C10" s="109">
        <v>521046723030</v>
      </c>
      <c r="D10" s="110">
        <v>473863914281</v>
      </c>
    </row>
    <row r="11" spans="1:4">
      <c r="A11" s="108" t="s">
        <v>204</v>
      </c>
      <c r="B11" s="109">
        <v>615551915344</v>
      </c>
      <c r="C11" s="109">
        <v>735481062571</v>
      </c>
      <c r="D11" s="110">
        <v>632236889813</v>
      </c>
    </row>
    <row r="12" spans="1:4">
      <c r="A12" s="108" t="s">
        <v>205</v>
      </c>
      <c r="B12" s="109">
        <v>3376195077</v>
      </c>
      <c r="C12" s="109">
        <v>7133991707</v>
      </c>
      <c r="D12" s="110">
        <v>4244731103</v>
      </c>
    </row>
    <row r="13" spans="1:4">
      <c r="A13" s="108" t="s">
        <v>268</v>
      </c>
      <c r="B13" s="109">
        <v>5614267136</v>
      </c>
      <c r="C13" s="109">
        <v>7027759165</v>
      </c>
      <c r="D13" s="110">
        <v>9579026135</v>
      </c>
    </row>
    <row r="14" spans="1:4">
      <c r="A14" s="108" t="s">
        <v>207</v>
      </c>
      <c r="B14" s="109">
        <v>14162389496</v>
      </c>
      <c r="C14" s="109">
        <v>13090454980</v>
      </c>
      <c r="D14" s="110">
        <v>10450417807</v>
      </c>
    </row>
    <row r="15" spans="1:4">
      <c r="A15" s="108" t="s">
        <v>208</v>
      </c>
      <c r="B15" s="109">
        <v>1268799488</v>
      </c>
      <c r="C15" s="109">
        <v>5266761574</v>
      </c>
      <c r="D15" s="110">
        <v>6838578007</v>
      </c>
    </row>
    <row r="16" spans="1:4">
      <c r="A16" s="108" t="s">
        <v>209</v>
      </c>
      <c r="B16" s="109">
        <v>3160842368</v>
      </c>
      <c r="C16" s="109">
        <v>692483335</v>
      </c>
      <c r="D16" s="110">
        <v>8906682</v>
      </c>
    </row>
    <row r="17" spans="1:4">
      <c r="A17" s="108" t="s">
        <v>210</v>
      </c>
      <c r="B17" s="109">
        <v>53812962766</v>
      </c>
      <c r="C17" s="109">
        <v>65038162502</v>
      </c>
      <c r="D17" s="110">
        <v>51654140013</v>
      </c>
    </row>
    <row r="18" spans="1:4">
      <c r="A18" s="108" t="s">
        <v>211</v>
      </c>
      <c r="B18" s="109">
        <v>2072377026522</v>
      </c>
      <c r="C18" s="109">
        <v>2183439305209</v>
      </c>
      <c r="D18" s="110">
        <v>1966461579498</v>
      </c>
    </row>
    <row r="19" spans="1:4">
      <c r="A19" s="108" t="s">
        <v>212</v>
      </c>
      <c r="B19" s="109">
        <v>10215389696</v>
      </c>
      <c r="C19" s="109">
        <v>21152138991</v>
      </c>
      <c r="D19" s="110">
        <v>19246243033</v>
      </c>
    </row>
    <row r="20" spans="1:4">
      <c r="A20" s="108" t="s">
        <v>213</v>
      </c>
      <c r="B20" s="109">
        <v>19267530948</v>
      </c>
      <c r="C20" s="109">
        <v>23581763662</v>
      </c>
      <c r="D20" s="110">
        <v>17286108509</v>
      </c>
    </row>
    <row r="21" spans="1:4">
      <c r="A21" s="108" t="s">
        <v>214</v>
      </c>
      <c r="B21" s="109">
        <v>405235647374</v>
      </c>
      <c r="C21" s="109">
        <v>439052048066</v>
      </c>
      <c r="D21" s="110">
        <v>310716359412</v>
      </c>
    </row>
    <row r="22" spans="1:4">
      <c r="A22" s="108" t="s">
        <v>215</v>
      </c>
      <c r="B22" s="109">
        <v>1450746613697</v>
      </c>
      <c r="C22" s="109">
        <v>1547923372827</v>
      </c>
      <c r="D22" s="110">
        <v>1491948339883</v>
      </c>
    </row>
    <row r="23" spans="1:4">
      <c r="A23" s="108" t="s">
        <v>216</v>
      </c>
      <c r="B23" s="109">
        <v>100788492416</v>
      </c>
      <c r="C23" s="109">
        <v>66210958086</v>
      </c>
      <c r="D23" s="110">
        <v>43806106986</v>
      </c>
    </row>
    <row r="24" spans="1:4">
      <c r="A24" s="108" t="s">
        <v>217</v>
      </c>
      <c r="B24" s="109">
        <v>3557560000</v>
      </c>
      <c r="C24" s="109">
        <v>3437900000</v>
      </c>
      <c r="D24" s="110">
        <v>2110480000</v>
      </c>
    </row>
    <row r="25" spans="1:4">
      <c r="A25" s="108" t="s">
        <v>218</v>
      </c>
      <c r="B25" s="109">
        <v>32171072</v>
      </c>
      <c r="C25" s="109">
        <v>1284246811</v>
      </c>
      <c r="D25" s="110">
        <v>1134718320</v>
      </c>
    </row>
    <row r="26" spans="1:4">
      <c r="A26" s="108" t="s">
        <v>219</v>
      </c>
      <c r="B26" s="109">
        <v>76390962631</v>
      </c>
      <c r="C26" s="109">
        <v>74558115739</v>
      </c>
      <c r="D26" s="110">
        <v>74672051151</v>
      </c>
    </row>
    <row r="27" spans="1:4">
      <c r="A27" s="108" t="s">
        <v>220</v>
      </c>
      <c r="B27" s="109">
        <v>6142658688</v>
      </c>
      <c r="C27" s="109">
        <v>6238761027</v>
      </c>
      <c r="D27" s="110">
        <v>5541172204</v>
      </c>
    </row>
    <row r="28" spans="1:4">
      <c r="A28" s="108" t="s">
        <v>221</v>
      </c>
      <c r="B28" s="109">
        <v>3758441248800</v>
      </c>
      <c r="C28" s="109">
        <v>3770249128461</v>
      </c>
      <c r="D28" s="110">
        <v>3304339508070</v>
      </c>
    </row>
    <row r="29" spans="1:4">
      <c r="A29" s="108" t="s">
        <v>222</v>
      </c>
      <c r="B29" s="111"/>
      <c r="C29" s="111"/>
      <c r="D29" s="112"/>
    </row>
    <row r="30" spans="1:4">
      <c r="A30" s="108" t="s">
        <v>223</v>
      </c>
      <c r="B30" s="109">
        <v>995459732771</v>
      </c>
      <c r="C30" s="109">
        <v>867356008900</v>
      </c>
      <c r="D30" s="110">
        <v>672315662546</v>
      </c>
    </row>
    <row r="31" spans="1:4">
      <c r="A31" s="108" t="s">
        <v>224</v>
      </c>
      <c r="B31" s="109">
        <v>407880923687</v>
      </c>
      <c r="C31" s="109">
        <v>413004383530</v>
      </c>
      <c r="D31" s="110">
        <v>405997471248</v>
      </c>
    </row>
    <row r="32" spans="1:4">
      <c r="A32" s="108" t="s">
        <v>225</v>
      </c>
      <c r="B32" s="109">
        <v>355990470781</v>
      </c>
      <c r="C32" s="109">
        <v>236394330219</v>
      </c>
      <c r="D32" s="110">
        <v>174425639360</v>
      </c>
    </row>
    <row r="33" spans="1:4">
      <c r="A33" s="108" t="s">
        <v>255</v>
      </c>
      <c r="B33" s="111"/>
      <c r="C33" s="109">
        <v>63568318209</v>
      </c>
      <c r="D33" s="112"/>
    </row>
    <row r="34" spans="1:4">
      <c r="A34" s="108" t="s">
        <v>226</v>
      </c>
      <c r="B34" s="109">
        <v>30749848690</v>
      </c>
      <c r="C34" s="109">
        <v>28841201387</v>
      </c>
      <c r="D34" s="110">
        <v>204323830</v>
      </c>
    </row>
    <row r="35" spans="1:4">
      <c r="A35" s="108" t="s">
        <v>227</v>
      </c>
      <c r="B35" s="109">
        <v>8672731968</v>
      </c>
      <c r="C35" s="109">
        <v>5120776887</v>
      </c>
      <c r="D35" s="110">
        <v>1235018599</v>
      </c>
    </row>
    <row r="36" spans="1:4">
      <c r="A36" s="108" t="s">
        <v>228</v>
      </c>
      <c r="B36" s="109">
        <v>655074455</v>
      </c>
      <c r="C36" s="109">
        <v>6574668133</v>
      </c>
      <c r="D36" s="110">
        <v>614177748</v>
      </c>
    </row>
    <row r="37" spans="1:4">
      <c r="A37" s="108" t="s">
        <v>229</v>
      </c>
      <c r="B37" s="109">
        <v>34101638344</v>
      </c>
      <c r="C37" s="109">
        <v>21742332869</v>
      </c>
      <c r="D37" s="110">
        <v>21939737844</v>
      </c>
    </row>
    <row r="38" spans="1:4">
      <c r="A38" s="108" t="s">
        <v>230</v>
      </c>
      <c r="B38" s="109">
        <v>34854798229</v>
      </c>
      <c r="C38" s="109">
        <v>32400303811</v>
      </c>
      <c r="D38" s="110">
        <v>31653653281</v>
      </c>
    </row>
    <row r="39" spans="1:4">
      <c r="A39" s="108" t="s">
        <v>231</v>
      </c>
      <c r="B39" s="109">
        <v>122554246617</v>
      </c>
      <c r="C39" s="109">
        <v>59709693855</v>
      </c>
      <c r="D39" s="110">
        <v>36245640636</v>
      </c>
    </row>
    <row r="40" spans="1:4">
      <c r="A40" s="108" t="s">
        <v>232</v>
      </c>
      <c r="B40" s="109">
        <v>905653709044</v>
      </c>
      <c r="C40" s="109">
        <v>1101949501736</v>
      </c>
      <c r="D40" s="110">
        <v>1125529969365</v>
      </c>
    </row>
    <row r="41" spans="1:4">
      <c r="A41" s="108" t="s">
        <v>233</v>
      </c>
      <c r="B41" s="109">
        <v>12307419358</v>
      </c>
      <c r="C41" s="109">
        <v>13655988563</v>
      </c>
      <c r="D41" s="110">
        <v>13784891081</v>
      </c>
    </row>
    <row r="42" spans="1:4">
      <c r="A42" s="108" t="s">
        <v>234</v>
      </c>
      <c r="B42" s="109">
        <v>507116631655</v>
      </c>
      <c r="C42" s="109">
        <v>611690244829</v>
      </c>
      <c r="D42" s="110">
        <v>746949775950</v>
      </c>
    </row>
    <row r="43" spans="1:4">
      <c r="A43" s="108" t="s">
        <v>235</v>
      </c>
      <c r="B43" s="111"/>
      <c r="C43" s="111"/>
      <c r="D43" s="110">
        <v>61175397210</v>
      </c>
    </row>
    <row r="44" spans="1:4">
      <c r="A44" s="108" t="s">
        <v>236</v>
      </c>
      <c r="B44" s="109">
        <v>108655819427</v>
      </c>
      <c r="C44" s="109">
        <v>117220949035</v>
      </c>
      <c r="D44" s="110">
        <v>409770233</v>
      </c>
    </row>
    <row r="45" spans="1:4">
      <c r="A45" s="108" t="s">
        <v>237</v>
      </c>
      <c r="B45" s="109">
        <v>1072132608</v>
      </c>
      <c r="C45" s="109">
        <v>1046122086</v>
      </c>
      <c r="D45" s="110">
        <v>1214102303</v>
      </c>
    </row>
    <row r="46" spans="1:4">
      <c r="A46" s="108" t="s">
        <v>238</v>
      </c>
      <c r="B46" s="109">
        <v>130684023874</v>
      </c>
      <c r="C46" s="109">
        <v>147455572322</v>
      </c>
      <c r="D46" s="110">
        <v>131076549709</v>
      </c>
    </row>
    <row r="47" spans="1:4">
      <c r="A47" s="108" t="s">
        <v>239</v>
      </c>
      <c r="B47" s="109">
        <v>131453490442</v>
      </c>
      <c r="C47" s="109">
        <v>187117025264</v>
      </c>
      <c r="D47" s="110">
        <v>142583050574</v>
      </c>
    </row>
    <row r="48" spans="1:4">
      <c r="A48" s="108" t="s">
        <v>240</v>
      </c>
      <c r="B48" s="109">
        <v>6779937280</v>
      </c>
      <c r="C48" s="109">
        <v>12589522390</v>
      </c>
      <c r="D48" s="110">
        <v>13652467247</v>
      </c>
    </row>
    <row r="49" spans="1:4">
      <c r="A49" s="108" t="s">
        <v>241</v>
      </c>
      <c r="B49" s="109">
        <v>7042814400</v>
      </c>
      <c r="C49" s="109">
        <v>10632637247</v>
      </c>
      <c r="D49" s="110">
        <v>14683965058</v>
      </c>
    </row>
    <row r="50" spans="1:4">
      <c r="A50" s="108" t="s">
        <v>256</v>
      </c>
      <c r="B50" s="109">
        <v>541440000</v>
      </c>
      <c r="C50" s="109">
        <v>541440000</v>
      </c>
      <c r="D50" s="112"/>
    </row>
    <row r="51" spans="1:4">
      <c r="A51" s="108" t="s">
        <v>242</v>
      </c>
      <c r="B51" s="109">
        <v>1901113441815</v>
      </c>
      <c r="C51" s="109">
        <v>1969305510636</v>
      </c>
      <c r="D51" s="110">
        <v>1797845631911</v>
      </c>
    </row>
    <row r="52" spans="1:4">
      <c r="A52" s="108" t="s">
        <v>243</v>
      </c>
      <c r="B52" s="111"/>
      <c r="C52" s="111"/>
      <c r="D52" s="112"/>
    </row>
    <row r="53" spans="1:4">
      <c r="A53" s="108" t="s">
        <v>244</v>
      </c>
      <c r="B53" s="109">
        <v>1292436125023</v>
      </c>
      <c r="C53" s="109">
        <v>1249653574381</v>
      </c>
      <c r="D53" s="110">
        <v>991677842021</v>
      </c>
    </row>
    <row r="54" spans="1:4">
      <c r="A54" s="108" t="s">
        <v>245</v>
      </c>
      <c r="B54" s="109">
        <v>61115070000</v>
      </c>
      <c r="C54" s="109">
        <v>61115070000</v>
      </c>
      <c r="D54" s="110">
        <v>61115070000</v>
      </c>
    </row>
    <row r="55" spans="1:4">
      <c r="A55" s="108" t="s">
        <v>246</v>
      </c>
      <c r="B55" s="109">
        <v>117766679366</v>
      </c>
      <c r="C55" s="109">
        <v>117766679366</v>
      </c>
      <c r="D55" s="110">
        <v>117766679366</v>
      </c>
    </row>
    <row r="56" spans="1:4">
      <c r="A56" s="108" t="s">
        <v>247</v>
      </c>
      <c r="B56" s="109">
        <v>-39528618669</v>
      </c>
      <c r="C56" s="109">
        <v>-34296293023</v>
      </c>
      <c r="D56" s="110">
        <v>-9060116061</v>
      </c>
    </row>
    <row r="57" spans="1:4">
      <c r="A57" s="108" t="s">
        <v>248</v>
      </c>
      <c r="B57" s="109">
        <v>-26258559358</v>
      </c>
      <c r="C57" s="109">
        <v>25053811764</v>
      </c>
      <c r="D57" s="110">
        <v>-583013337</v>
      </c>
    </row>
    <row r="58" spans="1:4">
      <c r="A58" s="108" t="s">
        <v>249</v>
      </c>
      <c r="B58" s="109">
        <v>1179341553684</v>
      </c>
      <c r="C58" s="109">
        <v>1080014306274</v>
      </c>
      <c r="D58" s="110">
        <v>822439222053</v>
      </c>
    </row>
    <row r="59" spans="1:4">
      <c r="A59" s="108" t="s">
        <v>157</v>
      </c>
      <c r="B59" s="109">
        <v>564891681962</v>
      </c>
      <c r="C59" s="109">
        <v>551290043444</v>
      </c>
      <c r="D59" s="110">
        <v>514816034138</v>
      </c>
    </row>
    <row r="60" spans="1:4">
      <c r="A60" s="108" t="s">
        <v>250</v>
      </c>
      <c r="B60" s="109">
        <v>1857327806985</v>
      </c>
      <c r="C60" s="109">
        <v>1800943617825</v>
      </c>
      <c r="D60" s="110">
        <v>1506493876159</v>
      </c>
    </row>
    <row r="61" spans="1:4">
      <c r="A61" s="113" t="s">
        <v>251</v>
      </c>
      <c r="B61" s="114">
        <v>3758441248800</v>
      </c>
      <c r="C61" s="114">
        <v>3770249128461</v>
      </c>
      <c r="D61" s="123">
        <v>3304339508070</v>
      </c>
    </row>
    <row r="62" spans="1:4">
      <c r="A62" s="133"/>
      <c r="B62" s="103"/>
      <c r="C62" s="103"/>
      <c r="D62" s="103"/>
    </row>
    <row r="63" spans="1:4">
      <c r="A63" s="102" t="s">
        <v>122</v>
      </c>
      <c r="B63" s="103"/>
      <c r="C63" s="103"/>
      <c r="D63" s="103"/>
    </row>
    <row r="64" spans="1:4">
      <c r="A64" s="104" t="s">
        <v>283</v>
      </c>
      <c r="B64" s="103"/>
      <c r="C64" s="103"/>
      <c r="D64" s="103"/>
    </row>
    <row r="65" spans="1:4">
      <c r="A65" s="104" t="s">
        <v>181</v>
      </c>
      <c r="B65" s="103"/>
      <c r="C65" s="103"/>
      <c r="D65" s="103"/>
    </row>
    <row r="66" spans="1:4">
      <c r="A66" s="104" t="s">
        <v>182</v>
      </c>
      <c r="B66" s="103"/>
      <c r="C66" s="103"/>
      <c r="D66" s="103"/>
    </row>
    <row r="67" spans="1:4">
      <c r="A67" s="105" t="s">
        <v>125</v>
      </c>
      <c r="B67" s="103"/>
      <c r="C67" s="103"/>
      <c r="D67" s="103"/>
    </row>
    <row r="68" spans="1:4">
      <c r="A68" s="127"/>
      <c r="B68" s="128" t="s">
        <v>282</v>
      </c>
      <c r="C68" s="128" t="s">
        <v>184</v>
      </c>
      <c r="D68" s="129" t="s">
        <v>185</v>
      </c>
    </row>
    <row r="69" spans="1:4">
      <c r="A69" s="108" t="s">
        <v>271</v>
      </c>
      <c r="B69" s="109">
        <v>3128805852797</v>
      </c>
      <c r="C69" s="109">
        <v>3450421529936</v>
      </c>
      <c r="D69" s="110">
        <v>2954642540440</v>
      </c>
    </row>
    <row r="70" spans="1:4">
      <c r="A70" s="108" t="s">
        <v>131</v>
      </c>
      <c r="B70" s="109">
        <v>1584164454400</v>
      </c>
      <c r="C70" s="109">
        <v>1720714487680</v>
      </c>
      <c r="D70" s="110">
        <v>1487105988703</v>
      </c>
    </row>
    <row r="71" spans="1:4">
      <c r="A71" s="108" t="s">
        <v>132</v>
      </c>
      <c r="B71" s="109">
        <v>1544641398397</v>
      </c>
      <c r="C71" s="109">
        <v>1729707042256</v>
      </c>
      <c r="D71" s="110">
        <v>1467536551737</v>
      </c>
    </row>
    <row r="72" spans="1:4">
      <c r="A72" s="108" t="s">
        <v>133</v>
      </c>
      <c r="B72" s="109">
        <v>1203563514116</v>
      </c>
      <c r="C72" s="109">
        <v>1259030549610</v>
      </c>
      <c r="D72" s="110">
        <v>1110434382244</v>
      </c>
    </row>
    <row r="73" spans="1:4">
      <c r="A73" s="108" t="s">
        <v>134</v>
      </c>
      <c r="B73" s="109">
        <v>341077884281</v>
      </c>
      <c r="C73" s="109">
        <v>470676492646</v>
      </c>
      <c r="D73" s="110">
        <v>357102169493</v>
      </c>
    </row>
    <row r="74" spans="1:4">
      <c r="A74" s="108" t="s">
        <v>135</v>
      </c>
      <c r="B74" s="109">
        <v>8220398778</v>
      </c>
      <c r="C74" s="109">
        <v>33715807124</v>
      </c>
      <c r="D74" s="110">
        <v>34044072509</v>
      </c>
    </row>
    <row r="75" spans="1:4">
      <c r="A75" s="108" t="s">
        <v>136</v>
      </c>
      <c r="B75" s="109">
        <v>22246207938</v>
      </c>
      <c r="C75" s="109">
        <v>10799613846</v>
      </c>
      <c r="D75" s="110">
        <v>18052812516</v>
      </c>
    </row>
    <row r="76" spans="1:4">
      <c r="A76" s="108" t="s">
        <v>138</v>
      </c>
      <c r="B76" s="109">
        <v>38600605960</v>
      </c>
      <c r="C76" s="109">
        <v>24312061030</v>
      </c>
      <c r="D76" s="110">
        <v>19693165853</v>
      </c>
    </row>
    <row r="77" spans="1:4">
      <c r="A77" s="108" t="s">
        <v>137</v>
      </c>
      <c r="B77" s="111"/>
      <c r="C77" s="111"/>
      <c r="D77" s="110">
        <v>1991239173</v>
      </c>
    </row>
    <row r="78" spans="1:4">
      <c r="A78" s="108" t="s">
        <v>139</v>
      </c>
      <c r="B78" s="109">
        <v>68349474469</v>
      </c>
      <c r="C78" s="109">
        <v>81271283587</v>
      </c>
      <c r="D78" s="110">
        <v>77422814362</v>
      </c>
    </row>
    <row r="79" spans="1:4">
      <c r="A79" s="108" t="s">
        <v>140</v>
      </c>
      <c r="B79" s="109">
        <v>42601175038</v>
      </c>
      <c r="C79" s="109">
        <v>34621568628</v>
      </c>
      <c r="D79" s="110">
        <v>19778378833</v>
      </c>
    </row>
    <row r="80" spans="1:4">
      <c r="A80" s="108" t="s">
        <v>141</v>
      </c>
      <c r="B80" s="109">
        <v>339904381650</v>
      </c>
      <c r="C80" s="109">
        <v>471255031995</v>
      </c>
      <c r="D80" s="110">
        <v>337133398983</v>
      </c>
    </row>
    <row r="81" spans="1:4">
      <c r="A81" s="108" t="s">
        <v>142</v>
      </c>
      <c r="B81" s="109">
        <v>142165662552</v>
      </c>
      <c r="C81" s="109">
        <v>133111233147</v>
      </c>
      <c r="D81" s="110">
        <v>127083431941</v>
      </c>
    </row>
    <row r="82" spans="1:4">
      <c r="A82" s="108" t="s">
        <v>193</v>
      </c>
      <c r="B82" s="109">
        <v>197738719098</v>
      </c>
      <c r="C82" s="109">
        <v>338143798848</v>
      </c>
      <c r="D82" s="110">
        <v>210049967042</v>
      </c>
    </row>
    <row r="83" spans="1:4">
      <c r="A83" s="108" t="s">
        <v>144</v>
      </c>
      <c r="B83" s="111"/>
      <c r="C83" s="111"/>
      <c r="D83" s="112"/>
    </row>
    <row r="84" spans="1:4">
      <c r="A84" s="108" t="s">
        <v>145</v>
      </c>
      <c r="B84" s="109">
        <v>-11450290410</v>
      </c>
      <c r="C84" s="109">
        <v>-15321485157</v>
      </c>
      <c r="D84" s="110">
        <v>4136059839</v>
      </c>
    </row>
    <row r="85" spans="1:4">
      <c r="A85" s="108" t="s">
        <v>146</v>
      </c>
      <c r="B85" s="109">
        <v>-11540992690</v>
      </c>
      <c r="C85" s="109">
        <v>-16631658037</v>
      </c>
      <c r="D85" s="110">
        <v>5146982045</v>
      </c>
    </row>
    <row r="86" spans="1:4">
      <c r="A86" s="108" t="s">
        <v>284</v>
      </c>
      <c r="B86" s="109">
        <v>90702280</v>
      </c>
      <c r="C86" s="109">
        <v>1310172880</v>
      </c>
      <c r="D86" s="110">
        <v>-1010922206</v>
      </c>
    </row>
    <row r="87" spans="1:4">
      <c r="A87" s="108" t="s">
        <v>147</v>
      </c>
      <c r="B87" s="111"/>
      <c r="C87" s="111"/>
      <c r="D87" s="112"/>
    </row>
    <row r="88" spans="1:4">
      <c r="A88" s="108" t="s">
        <v>148</v>
      </c>
      <c r="B88" s="109">
        <v>6345334060</v>
      </c>
      <c r="C88" s="109">
        <v>-1350388721</v>
      </c>
      <c r="D88" s="110">
        <v>-2024742620</v>
      </c>
    </row>
    <row r="89" spans="1:4">
      <c r="A89" s="108" t="s">
        <v>149</v>
      </c>
      <c r="B89" s="109">
        <v>-71789805520</v>
      </c>
      <c r="C89" s="109">
        <v>39792517579</v>
      </c>
      <c r="D89" s="110">
        <v>60639963294</v>
      </c>
    </row>
    <row r="90" spans="1:4">
      <c r="A90" s="108" t="s">
        <v>150</v>
      </c>
      <c r="B90" s="109">
        <v>-6292637739</v>
      </c>
      <c r="C90" s="109">
        <v>-5391625863</v>
      </c>
      <c r="D90" s="110">
        <v>7342769675</v>
      </c>
    </row>
    <row r="91" spans="1:4">
      <c r="A91" s="108" t="s">
        <v>188</v>
      </c>
      <c r="B91" s="109">
        <v>-83187399609</v>
      </c>
      <c r="C91" s="109">
        <v>17729017838</v>
      </c>
      <c r="D91" s="110">
        <v>70094050188</v>
      </c>
    </row>
    <row r="92" spans="1:4">
      <c r="A92" s="108" t="s">
        <v>194</v>
      </c>
      <c r="B92" s="109">
        <v>114551319489</v>
      </c>
      <c r="C92" s="109">
        <v>355872816686</v>
      </c>
      <c r="D92" s="110">
        <v>280144017230</v>
      </c>
    </row>
    <row r="93" spans="1:4">
      <c r="A93" s="108" t="s">
        <v>189</v>
      </c>
      <c r="B93" s="111"/>
      <c r="C93" s="111"/>
      <c r="D93" s="112"/>
    </row>
    <row r="94" spans="1:4">
      <c r="A94" s="139" t="s">
        <v>154</v>
      </c>
      <c r="B94" s="140">
        <v>139029603129</v>
      </c>
      <c r="C94" s="140">
        <v>266778723988</v>
      </c>
      <c r="D94" s="141">
        <v>143546058058</v>
      </c>
    </row>
    <row r="95" spans="1:4">
      <c r="A95" s="108" t="s">
        <v>155</v>
      </c>
      <c r="B95" s="109">
        <v>58709115969</v>
      </c>
      <c r="C95" s="109">
        <v>71365074860</v>
      </c>
      <c r="D95" s="110">
        <v>66503908984</v>
      </c>
    </row>
    <row r="96" spans="1:4">
      <c r="A96" s="108" t="s">
        <v>190</v>
      </c>
      <c r="B96" s="111"/>
      <c r="C96" s="111"/>
      <c r="D96" s="112"/>
    </row>
    <row r="97" spans="1:4">
      <c r="A97" s="108" t="s">
        <v>154</v>
      </c>
      <c r="B97" s="109">
        <v>81481209150</v>
      </c>
      <c r="C97" s="109">
        <v>287118314398</v>
      </c>
      <c r="D97" s="110">
        <v>192443538630</v>
      </c>
    </row>
    <row r="98" spans="1:4">
      <c r="A98" s="108" t="s">
        <v>157</v>
      </c>
      <c r="B98" s="109">
        <v>33070110339</v>
      </c>
      <c r="C98" s="109">
        <v>68754502288</v>
      </c>
      <c r="D98" s="110">
        <v>87700478600</v>
      </c>
    </row>
    <row r="99" spans="1:4">
      <c r="A99" s="108" t="s">
        <v>158</v>
      </c>
      <c r="B99" s="111"/>
      <c r="C99" s="111"/>
      <c r="D99" s="112"/>
    </row>
    <row r="100" spans="1:4">
      <c r="A100" s="108" t="s">
        <v>159</v>
      </c>
      <c r="B100" s="109">
        <v>2306</v>
      </c>
      <c r="C100" s="109">
        <v>4382</v>
      </c>
      <c r="D100" s="110">
        <v>2349</v>
      </c>
    </row>
    <row r="101" spans="1:4">
      <c r="A101" s="113" t="s">
        <v>160</v>
      </c>
      <c r="B101" s="114">
        <v>2306</v>
      </c>
      <c r="C101" s="114">
        <v>4382</v>
      </c>
      <c r="D101" s="123">
        <v>2349</v>
      </c>
    </row>
  </sheetData>
  <phoneticPr fontId="3"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41"/>
  <sheetViews>
    <sheetView topLeftCell="A100" zoomScale="85" zoomScaleNormal="85" workbookViewId="0">
      <selection activeCell="B109" sqref="B109"/>
    </sheetView>
  </sheetViews>
  <sheetFormatPr defaultRowHeight="16.5"/>
  <cols>
    <col min="1" max="1" width="50.75" customWidth="1"/>
    <col min="2" max="3" width="17.75" bestFit="1" customWidth="1"/>
    <col min="4" max="5" width="16" bestFit="1" customWidth="1"/>
  </cols>
  <sheetData>
    <row r="1" spans="1:5">
      <c r="A1" s="102" t="s">
        <v>195</v>
      </c>
      <c r="B1" s="103"/>
      <c r="C1" s="103"/>
      <c r="D1" s="103"/>
      <c r="E1" s="103"/>
    </row>
    <row r="2" spans="1:5">
      <c r="A2" s="104" t="s">
        <v>285</v>
      </c>
      <c r="B2" s="103"/>
      <c r="C2" s="103"/>
      <c r="D2" s="103"/>
      <c r="E2" s="103"/>
    </row>
    <row r="3" spans="1:5">
      <c r="A3" s="104" t="s">
        <v>286</v>
      </c>
      <c r="B3" s="103"/>
      <c r="C3" s="103"/>
      <c r="D3" s="103"/>
      <c r="E3" s="103"/>
    </row>
    <row r="4" spans="1:5">
      <c r="A4" s="105" t="s">
        <v>125</v>
      </c>
      <c r="B4" s="103"/>
      <c r="C4" s="103"/>
      <c r="D4" s="103"/>
      <c r="E4" s="103"/>
    </row>
    <row r="5" spans="1:5">
      <c r="A5" s="127"/>
      <c r="B5" s="128" t="s">
        <v>287</v>
      </c>
      <c r="C5" s="129" t="s">
        <v>288</v>
      </c>
      <c r="D5" s="103"/>
      <c r="E5" s="103"/>
    </row>
    <row r="6" spans="1:5">
      <c r="A6" s="108" t="s">
        <v>200</v>
      </c>
      <c r="B6" s="111"/>
      <c r="C6" s="112"/>
      <c r="D6" s="103"/>
      <c r="E6" s="103"/>
    </row>
    <row r="7" spans="1:5">
      <c r="A7" s="108" t="s">
        <v>201</v>
      </c>
      <c r="B7" s="109">
        <v>1854534759093</v>
      </c>
      <c r="C7" s="110">
        <v>1686064222278</v>
      </c>
      <c r="D7" s="103"/>
      <c r="E7" s="103"/>
    </row>
    <row r="8" spans="1:5">
      <c r="A8" s="108" t="s">
        <v>202</v>
      </c>
      <c r="B8" s="109">
        <v>467169075074</v>
      </c>
      <c r="C8" s="110">
        <v>470647552525</v>
      </c>
      <c r="D8" s="103"/>
      <c r="E8" s="103"/>
    </row>
    <row r="9" spans="1:5">
      <c r="A9" s="108" t="s">
        <v>203</v>
      </c>
      <c r="B9" s="109">
        <v>725845528739</v>
      </c>
      <c r="C9" s="110">
        <v>518469298078</v>
      </c>
      <c r="D9" s="103"/>
      <c r="E9" s="103"/>
    </row>
    <row r="10" spans="1:5">
      <c r="A10" s="108" t="s">
        <v>204</v>
      </c>
      <c r="B10" s="109">
        <v>587720745024</v>
      </c>
      <c r="C10" s="110">
        <v>615551915344</v>
      </c>
      <c r="D10" s="103"/>
      <c r="E10" s="103"/>
    </row>
    <row r="11" spans="1:5">
      <c r="A11" s="108" t="s">
        <v>289</v>
      </c>
      <c r="B11" s="109">
        <v>3211649299</v>
      </c>
      <c r="C11" s="110">
        <v>3376195077</v>
      </c>
      <c r="D11" s="103"/>
      <c r="E11" s="103"/>
    </row>
    <row r="12" spans="1:5">
      <c r="A12" s="108" t="s">
        <v>268</v>
      </c>
      <c r="B12" s="109">
        <v>5787708131</v>
      </c>
      <c r="C12" s="110">
        <v>5614267136</v>
      </c>
      <c r="D12" s="103"/>
      <c r="E12" s="103"/>
    </row>
    <row r="13" spans="1:5">
      <c r="A13" s="108" t="s">
        <v>207</v>
      </c>
      <c r="B13" s="109">
        <v>11105494698</v>
      </c>
      <c r="C13" s="110">
        <v>14162389496</v>
      </c>
      <c r="D13" s="103"/>
      <c r="E13" s="103"/>
    </row>
    <row r="14" spans="1:5">
      <c r="A14" s="108" t="s">
        <v>208</v>
      </c>
      <c r="B14" s="109">
        <v>3939985925</v>
      </c>
      <c r="C14" s="110">
        <v>1268799488</v>
      </c>
      <c r="D14" s="103"/>
      <c r="E14" s="103"/>
    </row>
    <row r="15" spans="1:5">
      <c r="A15" s="108" t="s">
        <v>209</v>
      </c>
      <c r="B15" s="109">
        <v>4136629893</v>
      </c>
      <c r="C15" s="110">
        <v>3160842368</v>
      </c>
      <c r="D15" s="103"/>
      <c r="E15" s="103"/>
    </row>
    <row r="16" spans="1:5">
      <c r="A16" s="108" t="s">
        <v>210</v>
      </c>
      <c r="B16" s="109">
        <v>45617942310</v>
      </c>
      <c r="C16" s="110">
        <v>53812962766</v>
      </c>
      <c r="D16" s="103"/>
      <c r="E16" s="103"/>
    </row>
    <row r="17" spans="1:5">
      <c r="A17" s="108" t="s">
        <v>211</v>
      </c>
      <c r="B17" s="109">
        <v>2142135944075</v>
      </c>
      <c r="C17" s="110">
        <v>2072377026522</v>
      </c>
      <c r="D17" s="103"/>
      <c r="E17" s="103"/>
    </row>
    <row r="18" spans="1:5">
      <c r="A18" s="108" t="s">
        <v>290</v>
      </c>
      <c r="B18" s="109">
        <v>10217992865</v>
      </c>
      <c r="C18" s="110">
        <v>10215389696</v>
      </c>
      <c r="D18" s="103"/>
      <c r="E18" s="103"/>
    </row>
    <row r="19" spans="1:5">
      <c r="A19" s="108" t="s">
        <v>213</v>
      </c>
      <c r="B19" s="109">
        <v>24058872617</v>
      </c>
      <c r="C19" s="110">
        <v>19267530948</v>
      </c>
      <c r="D19" s="103"/>
      <c r="E19" s="103"/>
    </row>
    <row r="20" spans="1:5">
      <c r="A20" s="108" t="s">
        <v>214</v>
      </c>
      <c r="B20" s="109">
        <v>414934853546</v>
      </c>
      <c r="C20" s="110">
        <v>405235647374</v>
      </c>
      <c r="D20" s="103"/>
      <c r="E20" s="103"/>
    </row>
    <row r="21" spans="1:5">
      <c r="A21" s="108" t="s">
        <v>215</v>
      </c>
      <c r="B21" s="109">
        <v>1496938777890</v>
      </c>
      <c r="C21" s="110">
        <v>1450746613697</v>
      </c>
      <c r="D21" s="103"/>
      <c r="E21" s="103"/>
    </row>
    <row r="22" spans="1:5">
      <c r="A22" s="108" t="s">
        <v>216</v>
      </c>
      <c r="B22" s="109">
        <v>115747719754</v>
      </c>
      <c r="C22" s="110">
        <v>100788492416</v>
      </c>
      <c r="D22" s="103"/>
      <c r="E22" s="103"/>
    </row>
    <row r="23" spans="1:5">
      <c r="A23" s="108" t="s">
        <v>217</v>
      </c>
      <c r="B23" s="109">
        <v>3557560000</v>
      </c>
      <c r="C23" s="110">
        <v>3557560000</v>
      </c>
      <c r="D23" s="103"/>
      <c r="E23" s="103"/>
    </row>
    <row r="24" spans="1:5">
      <c r="A24" s="108" t="s">
        <v>218</v>
      </c>
      <c r="B24" s="109">
        <v>1388315334</v>
      </c>
      <c r="C24" s="110">
        <v>32171072</v>
      </c>
      <c r="D24" s="103"/>
      <c r="E24" s="103"/>
    </row>
    <row r="25" spans="1:5">
      <c r="A25" s="108" t="s">
        <v>219</v>
      </c>
      <c r="B25" s="109">
        <v>69188394366</v>
      </c>
      <c r="C25" s="110">
        <v>76390962631</v>
      </c>
      <c r="D25" s="103"/>
      <c r="E25" s="103"/>
    </row>
    <row r="26" spans="1:5">
      <c r="A26" s="108" t="s">
        <v>220</v>
      </c>
      <c r="B26" s="109">
        <v>6103457703</v>
      </c>
      <c r="C26" s="110">
        <v>6142658688</v>
      </c>
      <c r="D26" s="103"/>
      <c r="E26" s="103"/>
    </row>
    <row r="27" spans="1:5">
      <c r="A27" s="108" t="s">
        <v>221</v>
      </c>
      <c r="B27" s="109">
        <v>3996670703168</v>
      </c>
      <c r="C27" s="110">
        <v>3758441248800</v>
      </c>
      <c r="D27" s="103"/>
      <c r="E27" s="103"/>
    </row>
    <row r="28" spans="1:5">
      <c r="A28" s="108" t="s">
        <v>222</v>
      </c>
      <c r="B28" s="111"/>
      <c r="C28" s="112"/>
      <c r="D28" s="103"/>
      <c r="E28" s="103"/>
    </row>
    <row r="29" spans="1:5">
      <c r="A29" s="108" t="s">
        <v>223</v>
      </c>
      <c r="B29" s="109">
        <v>1005413937557</v>
      </c>
      <c r="C29" s="110">
        <v>995459732771</v>
      </c>
      <c r="D29" s="103"/>
      <c r="E29" s="103"/>
    </row>
    <row r="30" spans="1:5">
      <c r="A30" s="108" t="s">
        <v>291</v>
      </c>
      <c r="B30" s="109">
        <v>426757202735</v>
      </c>
      <c r="C30" s="110">
        <v>407880923687</v>
      </c>
      <c r="D30" s="103"/>
      <c r="E30" s="103"/>
    </row>
    <row r="31" spans="1:5" s="366" customFormat="1">
      <c r="A31" s="381" t="s">
        <v>292</v>
      </c>
      <c r="B31" s="382">
        <v>331028530693</v>
      </c>
      <c r="C31" s="383">
        <v>355990470781</v>
      </c>
      <c r="D31" s="375"/>
      <c r="E31" s="375"/>
    </row>
    <row r="32" spans="1:5">
      <c r="A32" s="108" t="s">
        <v>293</v>
      </c>
      <c r="B32" s="109">
        <v>31328153230</v>
      </c>
      <c r="C32" s="110">
        <v>30749848690</v>
      </c>
      <c r="D32" s="103"/>
      <c r="E32" s="103"/>
    </row>
    <row r="33" spans="1:5">
      <c r="A33" s="108" t="s">
        <v>227</v>
      </c>
      <c r="B33" s="109">
        <v>5157129157</v>
      </c>
      <c r="C33" s="110">
        <v>8672731968</v>
      </c>
      <c r="D33" s="103"/>
      <c r="E33" s="103"/>
    </row>
    <row r="34" spans="1:5">
      <c r="A34" s="108" t="s">
        <v>228</v>
      </c>
      <c r="B34" s="109">
        <v>347310380</v>
      </c>
      <c r="C34" s="110">
        <v>655074455</v>
      </c>
      <c r="D34" s="103"/>
      <c r="E34" s="103"/>
    </row>
    <row r="35" spans="1:5">
      <c r="A35" s="108" t="s">
        <v>229</v>
      </c>
      <c r="B35" s="109">
        <v>38299654982</v>
      </c>
      <c r="C35" s="110">
        <v>34101638344</v>
      </c>
      <c r="D35" s="103"/>
      <c r="E35" s="103"/>
    </row>
    <row r="36" spans="1:5">
      <c r="A36" s="108" t="s">
        <v>230</v>
      </c>
      <c r="B36" s="109">
        <v>32597300471</v>
      </c>
      <c r="C36" s="110">
        <v>34854798229</v>
      </c>
      <c r="D36" s="103"/>
      <c r="E36" s="103"/>
    </row>
    <row r="37" spans="1:5">
      <c r="A37" s="108" t="s">
        <v>231</v>
      </c>
      <c r="B37" s="109">
        <v>139898655909</v>
      </c>
      <c r="C37" s="110">
        <v>122554246617</v>
      </c>
      <c r="D37" s="103"/>
      <c r="E37" s="103"/>
    </row>
    <row r="38" spans="1:5">
      <c r="A38" s="108" t="s">
        <v>232</v>
      </c>
      <c r="B38" s="109">
        <v>950241228322</v>
      </c>
      <c r="C38" s="110">
        <v>905653709044</v>
      </c>
      <c r="D38" s="103"/>
      <c r="E38" s="103"/>
    </row>
    <row r="39" spans="1:5">
      <c r="A39" s="108" t="s">
        <v>291</v>
      </c>
      <c r="B39" s="109">
        <v>13183054457</v>
      </c>
      <c r="C39" s="110">
        <v>12307419358</v>
      </c>
      <c r="D39" s="103"/>
      <c r="E39" s="103"/>
    </row>
    <row r="40" spans="1:5">
      <c r="A40" s="108" t="s">
        <v>292</v>
      </c>
      <c r="B40" s="109">
        <v>516383758397</v>
      </c>
      <c r="C40" s="110">
        <v>507116631655</v>
      </c>
      <c r="D40" s="103"/>
      <c r="E40" s="103"/>
    </row>
    <row r="41" spans="1:5">
      <c r="A41" s="108" t="s">
        <v>293</v>
      </c>
      <c r="B41" s="109">
        <v>106168549597</v>
      </c>
      <c r="C41" s="110">
        <v>108655819427</v>
      </c>
      <c r="D41" s="103"/>
      <c r="E41" s="103"/>
    </row>
    <row r="42" spans="1:5">
      <c r="A42" s="108" t="s">
        <v>237</v>
      </c>
      <c r="B42" s="109">
        <v>104397617</v>
      </c>
      <c r="C42" s="110">
        <v>1072132608</v>
      </c>
      <c r="D42" s="103"/>
      <c r="E42" s="103"/>
    </row>
    <row r="43" spans="1:5">
      <c r="A43" s="108" t="s">
        <v>238</v>
      </c>
      <c r="B43" s="109">
        <v>136342409193</v>
      </c>
      <c r="C43" s="110">
        <v>130684023874</v>
      </c>
      <c r="D43" s="103"/>
      <c r="E43" s="103"/>
    </row>
    <row r="44" spans="1:5">
      <c r="A44" s="108" t="s">
        <v>239</v>
      </c>
      <c r="B44" s="109">
        <v>162026501889</v>
      </c>
      <c r="C44" s="110">
        <v>131453490442</v>
      </c>
      <c r="D44" s="103"/>
      <c r="E44" s="103"/>
    </row>
    <row r="45" spans="1:5">
      <c r="A45" s="108" t="s">
        <v>240</v>
      </c>
      <c r="B45" s="109">
        <v>7186065820</v>
      </c>
      <c r="C45" s="110">
        <v>6779937280</v>
      </c>
      <c r="D45" s="103"/>
      <c r="E45" s="103"/>
    </row>
    <row r="46" spans="1:5">
      <c r="A46" s="108" t="s">
        <v>241</v>
      </c>
      <c r="B46" s="109">
        <v>8305051352</v>
      </c>
      <c r="C46" s="110">
        <v>7042814400</v>
      </c>
      <c r="D46" s="103"/>
      <c r="E46" s="103"/>
    </row>
    <row r="47" spans="1:5">
      <c r="A47" s="108" t="s">
        <v>294</v>
      </c>
      <c r="B47" s="109">
        <v>541440000</v>
      </c>
      <c r="C47" s="110">
        <v>541440000</v>
      </c>
      <c r="D47" s="103"/>
      <c r="E47" s="103"/>
    </row>
    <row r="48" spans="1:5">
      <c r="A48" s="108" t="s">
        <v>242</v>
      </c>
      <c r="B48" s="109">
        <v>1955655165879</v>
      </c>
      <c r="C48" s="110">
        <v>1901113441815</v>
      </c>
      <c r="D48" s="103"/>
      <c r="E48" s="103"/>
    </row>
    <row r="49" spans="1:5">
      <c r="A49" s="108" t="s">
        <v>243</v>
      </c>
      <c r="B49" s="111"/>
      <c r="C49" s="112"/>
      <c r="D49" s="103"/>
      <c r="E49" s="103"/>
    </row>
    <row r="50" spans="1:5">
      <c r="A50" s="108" t="s">
        <v>244</v>
      </c>
      <c r="B50" s="109">
        <v>1414672428149</v>
      </c>
      <c r="C50" s="110">
        <v>1292436125023</v>
      </c>
      <c r="D50" s="103"/>
      <c r="E50" s="103"/>
    </row>
    <row r="51" spans="1:5">
      <c r="A51" s="108" t="s">
        <v>245</v>
      </c>
      <c r="B51" s="109">
        <v>61115070000</v>
      </c>
      <c r="C51" s="110">
        <v>61115070000</v>
      </c>
      <c r="D51" s="103"/>
      <c r="E51" s="103"/>
    </row>
    <row r="52" spans="1:5">
      <c r="A52" s="108" t="s">
        <v>246</v>
      </c>
      <c r="B52" s="109">
        <v>117766679366</v>
      </c>
      <c r="C52" s="110">
        <v>117766679366</v>
      </c>
      <c r="D52" s="103"/>
      <c r="E52" s="103"/>
    </row>
    <row r="53" spans="1:5">
      <c r="A53" s="108" t="s">
        <v>247</v>
      </c>
      <c r="B53" s="109">
        <v>-40200517005</v>
      </c>
      <c r="C53" s="110">
        <v>-39528618669</v>
      </c>
      <c r="D53" s="103"/>
      <c r="E53" s="103"/>
    </row>
    <row r="54" spans="1:5">
      <c r="A54" s="108" t="s">
        <v>248</v>
      </c>
      <c r="B54" s="109">
        <v>22769115580</v>
      </c>
      <c r="C54" s="110">
        <v>-26258559358</v>
      </c>
      <c r="D54" s="103"/>
      <c r="E54" s="103"/>
    </row>
    <row r="55" spans="1:5">
      <c r="A55" s="108" t="s">
        <v>249</v>
      </c>
      <c r="B55" s="109">
        <v>1253222080208</v>
      </c>
      <c r="C55" s="110">
        <v>1179341553684</v>
      </c>
      <c r="D55" s="103"/>
      <c r="E55" s="103"/>
    </row>
    <row r="56" spans="1:5">
      <c r="A56" s="108" t="s">
        <v>157</v>
      </c>
      <c r="B56" s="109">
        <v>626343109140</v>
      </c>
      <c r="C56" s="110">
        <v>564891681962</v>
      </c>
      <c r="D56" s="103"/>
      <c r="E56" s="103"/>
    </row>
    <row r="57" spans="1:5">
      <c r="A57" s="108" t="s">
        <v>250</v>
      </c>
      <c r="B57" s="109">
        <v>2041015537289</v>
      </c>
      <c r="C57" s="110">
        <v>1857327806985</v>
      </c>
      <c r="D57" s="103"/>
      <c r="E57" s="103"/>
    </row>
    <row r="58" spans="1:5">
      <c r="A58" s="113" t="s">
        <v>251</v>
      </c>
      <c r="B58" s="114">
        <v>3996670703168</v>
      </c>
      <c r="C58" s="123">
        <v>3758441248800</v>
      </c>
      <c r="D58" s="103"/>
      <c r="E58" s="103"/>
    </row>
    <row r="59" spans="1:5">
      <c r="A59" s="133"/>
      <c r="B59" s="103"/>
      <c r="C59" s="103"/>
      <c r="D59" s="103"/>
      <c r="E59" s="103"/>
    </row>
    <row r="60" spans="1:5">
      <c r="A60" s="102" t="s">
        <v>122</v>
      </c>
      <c r="B60" s="103"/>
      <c r="C60" s="103"/>
      <c r="D60" s="103"/>
      <c r="E60" s="103"/>
    </row>
    <row r="61" spans="1:5">
      <c r="A61" s="104" t="s">
        <v>295</v>
      </c>
      <c r="B61" s="103"/>
      <c r="C61" s="103"/>
      <c r="D61" s="103"/>
      <c r="E61" s="103"/>
    </row>
    <row r="62" spans="1:5">
      <c r="A62" s="104" t="s">
        <v>269</v>
      </c>
      <c r="B62" s="103"/>
      <c r="C62" s="103"/>
      <c r="D62" s="103"/>
      <c r="E62" s="103"/>
    </row>
    <row r="63" spans="1:5">
      <c r="A63" s="105" t="s">
        <v>125</v>
      </c>
      <c r="B63" s="103"/>
      <c r="C63" s="103"/>
      <c r="D63" s="103"/>
      <c r="E63" s="103"/>
    </row>
    <row r="64" spans="1:5">
      <c r="A64" s="117"/>
      <c r="B64" s="118" t="s">
        <v>296</v>
      </c>
      <c r="C64" s="119"/>
      <c r="D64" s="118" t="s">
        <v>270</v>
      </c>
      <c r="E64" s="120"/>
    </row>
    <row r="65" spans="1:5">
      <c r="A65" s="121"/>
      <c r="B65" s="106" t="s">
        <v>128</v>
      </c>
      <c r="C65" s="106" t="s">
        <v>129</v>
      </c>
      <c r="D65" s="106" t="s">
        <v>128</v>
      </c>
      <c r="E65" s="107" t="s">
        <v>129</v>
      </c>
    </row>
    <row r="66" spans="1:5">
      <c r="A66" s="108" t="s">
        <v>130</v>
      </c>
      <c r="B66" s="109">
        <v>988280981852</v>
      </c>
      <c r="C66" s="109">
        <v>988280981852</v>
      </c>
      <c r="D66" s="109">
        <v>789900935892</v>
      </c>
      <c r="E66" s="110">
        <v>789900935892</v>
      </c>
    </row>
    <row r="67" spans="1:5">
      <c r="A67" s="108" t="s">
        <v>131</v>
      </c>
      <c r="B67" s="109">
        <v>489740060545</v>
      </c>
      <c r="C67" s="109">
        <v>489740060545</v>
      </c>
      <c r="D67" s="109">
        <v>408201731100</v>
      </c>
      <c r="E67" s="110">
        <v>408201731100</v>
      </c>
    </row>
    <row r="68" spans="1:5">
      <c r="A68" s="108" t="s">
        <v>132</v>
      </c>
      <c r="B68" s="109">
        <v>498540921307</v>
      </c>
      <c r="C68" s="109">
        <v>498540921307</v>
      </c>
      <c r="D68" s="109">
        <v>381699204792</v>
      </c>
      <c r="E68" s="110">
        <v>381699204792</v>
      </c>
    </row>
    <row r="69" spans="1:5">
      <c r="A69" s="108" t="s">
        <v>133</v>
      </c>
      <c r="B69" s="109">
        <v>314971972171</v>
      </c>
      <c r="C69" s="109">
        <v>314971972171</v>
      </c>
      <c r="D69" s="109">
        <v>314556988717</v>
      </c>
      <c r="E69" s="110">
        <v>314556988717</v>
      </c>
    </row>
    <row r="70" spans="1:5">
      <c r="A70" s="108" t="s">
        <v>134</v>
      </c>
      <c r="B70" s="109">
        <v>183568949136</v>
      </c>
      <c r="C70" s="109">
        <v>183568949136</v>
      </c>
      <c r="D70" s="109">
        <v>67142216075</v>
      </c>
      <c r="E70" s="110">
        <v>67142216075</v>
      </c>
    </row>
    <row r="71" spans="1:5">
      <c r="A71" s="108" t="s">
        <v>135</v>
      </c>
      <c r="B71" s="109">
        <v>619539550</v>
      </c>
      <c r="C71" s="109">
        <v>619539550</v>
      </c>
      <c r="D71" s="109">
        <v>912757358</v>
      </c>
      <c r="E71" s="110">
        <v>912757358</v>
      </c>
    </row>
    <row r="72" spans="1:5">
      <c r="A72" s="108" t="s">
        <v>136</v>
      </c>
      <c r="B72" s="109">
        <v>733593892</v>
      </c>
      <c r="C72" s="109">
        <v>733593892</v>
      </c>
      <c r="D72" s="109">
        <v>3002289071</v>
      </c>
      <c r="E72" s="110">
        <v>3002289071</v>
      </c>
    </row>
    <row r="73" spans="1:5">
      <c r="A73" s="108" t="s">
        <v>138</v>
      </c>
      <c r="B73" s="109">
        <v>11175487857</v>
      </c>
      <c r="C73" s="109">
        <v>11175487857</v>
      </c>
      <c r="D73" s="109">
        <v>17315799613</v>
      </c>
      <c r="E73" s="110">
        <v>17315799613</v>
      </c>
    </row>
    <row r="74" spans="1:5">
      <c r="A74" s="108" t="s">
        <v>139</v>
      </c>
      <c r="B74" s="109">
        <v>20616495140</v>
      </c>
      <c r="C74" s="109">
        <v>20616495140</v>
      </c>
      <c r="D74" s="109">
        <v>31729054495</v>
      </c>
      <c r="E74" s="110">
        <v>31729054495</v>
      </c>
    </row>
    <row r="75" spans="1:5">
      <c r="A75" s="108" t="s">
        <v>140</v>
      </c>
      <c r="B75" s="109">
        <v>11662938919</v>
      </c>
      <c r="C75" s="109">
        <v>11662938919</v>
      </c>
      <c r="D75" s="109">
        <v>6891000138</v>
      </c>
      <c r="E75" s="110">
        <v>6891000138</v>
      </c>
    </row>
    <row r="76" spans="1:5">
      <c r="A76" s="108" t="s">
        <v>141</v>
      </c>
      <c r="B76" s="109">
        <v>185676826430</v>
      </c>
      <c r="C76" s="109">
        <v>185676826430</v>
      </c>
      <c r="D76" s="109">
        <v>57530429618</v>
      </c>
      <c r="E76" s="110">
        <v>57530429618</v>
      </c>
    </row>
    <row r="77" spans="1:5">
      <c r="A77" s="108" t="s">
        <v>142</v>
      </c>
      <c r="B77" s="109">
        <v>51476133152</v>
      </c>
      <c r="C77" s="109">
        <v>51476133152</v>
      </c>
      <c r="D77" s="109">
        <v>18030286463</v>
      </c>
      <c r="E77" s="110">
        <v>18030286463</v>
      </c>
    </row>
    <row r="78" spans="1:5">
      <c r="A78" s="108" t="s">
        <v>143</v>
      </c>
      <c r="B78" s="109">
        <v>134200693278</v>
      </c>
      <c r="C78" s="109">
        <v>134200693278</v>
      </c>
      <c r="D78" s="109">
        <v>39500143155</v>
      </c>
      <c r="E78" s="110">
        <v>39500143155</v>
      </c>
    </row>
    <row r="79" spans="1:5">
      <c r="A79" s="108" t="s">
        <v>144</v>
      </c>
      <c r="B79" s="111"/>
      <c r="C79" s="111"/>
      <c r="D79" s="111"/>
      <c r="E79" s="112"/>
    </row>
    <row r="80" spans="1:5">
      <c r="A80" s="108" t="s">
        <v>145</v>
      </c>
      <c r="B80" s="109">
        <v>86089551</v>
      </c>
      <c r="C80" s="109">
        <v>86089551</v>
      </c>
      <c r="D80" s="109">
        <v>1825299135</v>
      </c>
      <c r="E80" s="110">
        <v>1825299135</v>
      </c>
    </row>
    <row r="81" spans="1:5">
      <c r="A81" s="108" t="s">
        <v>146</v>
      </c>
      <c r="B81" s="109">
        <v>86089551</v>
      </c>
      <c r="C81" s="109">
        <v>86089551</v>
      </c>
      <c r="D81" s="109">
        <v>1825299135</v>
      </c>
      <c r="E81" s="110">
        <v>1825299135</v>
      </c>
    </row>
    <row r="82" spans="1:5">
      <c r="A82" s="108" t="s">
        <v>147</v>
      </c>
      <c r="B82" s="111"/>
      <c r="C82" s="111"/>
      <c r="D82" s="111"/>
      <c r="E82" s="112"/>
    </row>
    <row r="83" spans="1:5">
      <c r="A83" s="108" t="s">
        <v>148</v>
      </c>
      <c r="B83" s="109">
        <v>-952145456</v>
      </c>
      <c r="C83" s="109">
        <v>-952145456</v>
      </c>
      <c r="D83" s="109">
        <v>-1375901604</v>
      </c>
      <c r="E83" s="110">
        <v>-1375901604</v>
      </c>
    </row>
    <row r="84" spans="1:5">
      <c r="A84" s="108" t="s">
        <v>149</v>
      </c>
      <c r="B84" s="109">
        <v>65003509807</v>
      </c>
      <c r="C84" s="109">
        <v>65003509807</v>
      </c>
      <c r="D84" s="109">
        <v>67152337524</v>
      </c>
      <c r="E84" s="110">
        <v>67152337524</v>
      </c>
    </row>
    <row r="85" spans="1:5">
      <c r="A85" s="108" t="s">
        <v>150</v>
      </c>
      <c r="B85" s="109">
        <v>3912794084</v>
      </c>
      <c r="C85" s="109">
        <v>3912794084</v>
      </c>
      <c r="D85" s="109">
        <v>4149138574</v>
      </c>
      <c r="E85" s="110">
        <v>4149138574</v>
      </c>
    </row>
    <row r="86" spans="1:5">
      <c r="A86" s="108" t="s">
        <v>151</v>
      </c>
      <c r="B86" s="109">
        <v>68050247986</v>
      </c>
      <c r="C86" s="109">
        <v>68050247986</v>
      </c>
      <c r="D86" s="109">
        <v>71750873629</v>
      </c>
      <c r="E86" s="110">
        <v>71750873629</v>
      </c>
    </row>
    <row r="87" spans="1:5">
      <c r="A87" s="108" t="s">
        <v>152</v>
      </c>
      <c r="B87" s="109">
        <v>202250941264</v>
      </c>
      <c r="C87" s="109">
        <v>202250941264</v>
      </c>
      <c r="D87" s="109">
        <v>111251016784</v>
      </c>
      <c r="E87" s="110">
        <v>111251016784</v>
      </c>
    </row>
    <row r="88" spans="1:5">
      <c r="A88" s="108" t="s">
        <v>153</v>
      </c>
      <c r="B88" s="111"/>
      <c r="C88" s="111"/>
      <c r="D88" s="111"/>
      <c r="E88" s="112"/>
    </row>
    <row r="89" spans="1:5">
      <c r="A89" s="108" t="s">
        <v>154</v>
      </c>
      <c r="B89" s="109">
        <v>84985186138</v>
      </c>
      <c r="C89" s="109">
        <v>84985186138</v>
      </c>
      <c r="D89" s="109">
        <v>33613364054</v>
      </c>
      <c r="E89" s="110">
        <v>33613364054</v>
      </c>
    </row>
    <row r="90" spans="1:5">
      <c r="A90" s="108" t="s">
        <v>155</v>
      </c>
      <c r="B90" s="109">
        <v>49215507140</v>
      </c>
      <c r="C90" s="109">
        <v>49215507140</v>
      </c>
      <c r="D90" s="109">
        <v>5886779101</v>
      </c>
      <c r="E90" s="110">
        <v>5886779101</v>
      </c>
    </row>
    <row r="91" spans="1:5">
      <c r="A91" s="108" t="s">
        <v>156</v>
      </c>
      <c r="B91" s="111"/>
      <c r="C91" s="111"/>
      <c r="D91" s="111"/>
      <c r="E91" s="112"/>
    </row>
    <row r="92" spans="1:5">
      <c r="A92" s="108" t="s">
        <v>154</v>
      </c>
      <c r="B92" s="109">
        <v>133982012447</v>
      </c>
      <c r="C92" s="109">
        <v>133982012447</v>
      </c>
      <c r="D92" s="109">
        <v>84791092592</v>
      </c>
      <c r="E92" s="110">
        <v>84791092592</v>
      </c>
    </row>
    <row r="93" spans="1:5">
      <c r="A93" s="108" t="s">
        <v>157</v>
      </c>
      <c r="B93" s="109">
        <v>68268928817</v>
      </c>
      <c r="C93" s="109">
        <v>68268928817</v>
      </c>
      <c r="D93" s="109">
        <v>26459924192</v>
      </c>
      <c r="E93" s="110">
        <v>26459924192</v>
      </c>
    </row>
    <row r="94" spans="1:5">
      <c r="A94" s="108" t="s">
        <v>158</v>
      </c>
      <c r="B94" s="111"/>
      <c r="C94" s="111"/>
      <c r="D94" s="111"/>
      <c r="E94" s="112"/>
    </row>
    <row r="95" spans="1:5">
      <c r="A95" s="108" t="s">
        <v>159</v>
      </c>
      <c r="B95" s="109">
        <v>1414</v>
      </c>
      <c r="C95" s="109">
        <v>1414</v>
      </c>
      <c r="D95" s="111">
        <v>555</v>
      </c>
      <c r="E95" s="112">
        <v>555</v>
      </c>
    </row>
    <row r="96" spans="1:5">
      <c r="A96" s="113" t="s">
        <v>160</v>
      </c>
      <c r="B96" s="114">
        <v>1414</v>
      </c>
      <c r="C96" s="114">
        <v>1414</v>
      </c>
      <c r="D96" s="115">
        <v>555</v>
      </c>
      <c r="E96" s="116">
        <v>555</v>
      </c>
    </row>
    <row r="98" spans="1:3">
      <c r="A98" s="399" t="s">
        <v>620</v>
      </c>
    </row>
    <row r="99" spans="1:3">
      <c r="A99" s="384"/>
    </row>
    <row r="100" spans="1:3" ht="28.5">
      <c r="A100" s="384" t="s">
        <v>608</v>
      </c>
    </row>
    <row r="101" spans="1:3">
      <c r="A101" s="94" t="s">
        <v>558</v>
      </c>
    </row>
    <row r="102" spans="1:3">
      <c r="A102" s="124" t="s">
        <v>367</v>
      </c>
      <c r="B102" s="400" t="s">
        <v>609</v>
      </c>
      <c r="C102" s="401" t="s">
        <v>610</v>
      </c>
    </row>
    <row r="103" spans="1:3">
      <c r="A103" s="390" t="s">
        <v>561</v>
      </c>
      <c r="B103" s="386">
        <v>185676826</v>
      </c>
      <c r="C103" s="391">
        <v>57530430</v>
      </c>
    </row>
    <row r="104" spans="1:3">
      <c r="A104" s="390" t="s">
        <v>562</v>
      </c>
      <c r="B104" s="387"/>
      <c r="C104" s="392"/>
    </row>
    <row r="105" spans="1:3">
      <c r="A105" s="390" t="s">
        <v>563</v>
      </c>
      <c r="B105" s="386">
        <v>7926585</v>
      </c>
      <c r="C105" s="391">
        <v>10734976</v>
      </c>
    </row>
    <row r="106" spans="1:3">
      <c r="A106" s="390" t="s">
        <v>564</v>
      </c>
      <c r="B106" s="386">
        <v>4626800</v>
      </c>
      <c r="C106" s="391">
        <v>11338427</v>
      </c>
    </row>
    <row r="107" spans="1:3">
      <c r="A107" s="390" t="s">
        <v>565</v>
      </c>
      <c r="B107" s="386">
        <v>6045314</v>
      </c>
      <c r="C107" s="391">
        <v>2154228</v>
      </c>
    </row>
    <row r="108" spans="1:3">
      <c r="A108" s="390" t="s">
        <v>566</v>
      </c>
      <c r="B108" s="386">
        <v>4248666</v>
      </c>
      <c r="C108" s="391">
        <v>4623858</v>
      </c>
    </row>
    <row r="109" spans="1:3" s="366" customFormat="1">
      <c r="A109" s="396" t="s">
        <v>567</v>
      </c>
      <c r="B109" s="397">
        <v>17421480</v>
      </c>
      <c r="C109" s="398">
        <v>18156698</v>
      </c>
    </row>
    <row r="110" spans="1:3">
      <c r="A110" s="390" t="s">
        <v>568</v>
      </c>
      <c r="B110" s="386">
        <v>8529573</v>
      </c>
      <c r="C110" s="391">
        <v>6422868</v>
      </c>
    </row>
    <row r="111" spans="1:3">
      <c r="A111" s="390" t="s">
        <v>569</v>
      </c>
      <c r="B111" s="386">
        <v>-73112</v>
      </c>
      <c r="C111" s="391">
        <v>880990</v>
      </c>
    </row>
    <row r="112" spans="1:3">
      <c r="A112" s="390" t="s">
        <v>575</v>
      </c>
      <c r="B112" s="386">
        <v>15667</v>
      </c>
      <c r="C112" s="391">
        <v>5031</v>
      </c>
    </row>
    <row r="113" spans="1:3">
      <c r="A113" s="390" t="s">
        <v>618</v>
      </c>
      <c r="B113" s="386">
        <v>-328284</v>
      </c>
      <c r="C113" s="391">
        <v>3135247</v>
      </c>
    </row>
    <row r="114" spans="1:3">
      <c r="A114" s="390" t="s">
        <v>611</v>
      </c>
      <c r="B114" s="386">
        <v>-1778847</v>
      </c>
      <c r="C114" s="391">
        <v>-276782</v>
      </c>
    </row>
    <row r="115" spans="1:3">
      <c r="A115" s="390" t="s">
        <v>612</v>
      </c>
      <c r="B115" s="386">
        <v>-123781</v>
      </c>
      <c r="C115" s="392" t="s">
        <v>573</v>
      </c>
    </row>
    <row r="116" spans="1:3">
      <c r="A116" s="390" t="s">
        <v>580</v>
      </c>
      <c r="B116" s="386">
        <v>-11662939</v>
      </c>
      <c r="C116" s="391">
        <v>-6891000</v>
      </c>
    </row>
    <row r="117" spans="1:3">
      <c r="A117" s="390" t="s">
        <v>582</v>
      </c>
      <c r="B117" s="386">
        <v>-471294</v>
      </c>
      <c r="C117" s="391">
        <v>-479876</v>
      </c>
    </row>
    <row r="118" spans="1:3">
      <c r="A118" s="390" t="s">
        <v>583</v>
      </c>
      <c r="B118" s="386">
        <v>-11962</v>
      </c>
      <c r="C118" s="391">
        <v>-17101</v>
      </c>
    </row>
    <row r="119" spans="1:3">
      <c r="A119" s="390" t="s">
        <v>584</v>
      </c>
      <c r="B119" s="386">
        <v>-2822300</v>
      </c>
      <c r="C119" s="391">
        <v>-5987156</v>
      </c>
    </row>
    <row r="120" spans="1:3">
      <c r="A120" s="390" t="s">
        <v>585</v>
      </c>
      <c r="B120" s="386">
        <v>-203524420</v>
      </c>
      <c r="C120" s="391">
        <v>-108536126</v>
      </c>
    </row>
    <row r="121" spans="1:3">
      <c r="A121" s="390" t="s">
        <v>586</v>
      </c>
      <c r="B121" s="386">
        <v>4840298</v>
      </c>
      <c r="C121" s="391">
        <v>3890028</v>
      </c>
    </row>
    <row r="122" spans="1:3">
      <c r="A122" s="390" t="s">
        <v>587</v>
      </c>
      <c r="B122" s="386">
        <v>-109188</v>
      </c>
      <c r="C122" s="391">
        <v>675142</v>
      </c>
    </row>
    <row r="123" spans="1:3">
      <c r="A123" s="390" t="s">
        <v>588</v>
      </c>
      <c r="B123" s="386">
        <v>-826074</v>
      </c>
      <c r="C123" s="391">
        <v>-410010</v>
      </c>
    </row>
    <row r="124" spans="1:3">
      <c r="A124" s="393" t="s">
        <v>589</v>
      </c>
      <c r="B124" s="386">
        <v>9079482</v>
      </c>
      <c r="C124" s="391">
        <v>10137042</v>
      </c>
    </row>
    <row r="125" spans="1:3">
      <c r="A125" s="393" t="s">
        <v>590</v>
      </c>
      <c r="B125" s="386">
        <v>40741128</v>
      </c>
      <c r="C125" s="391">
        <v>36116582</v>
      </c>
    </row>
    <row r="126" spans="1:3">
      <c r="A126" s="393" t="s">
        <v>591</v>
      </c>
      <c r="B126" s="386">
        <v>2895292</v>
      </c>
      <c r="C126" s="391">
        <v>1736175</v>
      </c>
    </row>
    <row r="127" spans="1:3">
      <c r="A127" s="393" t="s">
        <v>592</v>
      </c>
      <c r="B127" s="386">
        <v>11272890</v>
      </c>
      <c r="C127" s="391">
        <v>-24248612</v>
      </c>
    </row>
    <row r="128" spans="1:3">
      <c r="A128" s="393" t="s">
        <v>593</v>
      </c>
      <c r="B128" s="386">
        <v>-1678331</v>
      </c>
      <c r="C128" s="391">
        <v>-4386659</v>
      </c>
    </row>
    <row r="129" spans="1:3">
      <c r="A129" s="393" t="s">
        <v>594</v>
      </c>
      <c r="B129" s="386">
        <v>-7576899</v>
      </c>
      <c r="C129" s="391">
        <v>-26929830</v>
      </c>
    </row>
    <row r="130" spans="1:3">
      <c r="A130" s="393" t="s">
        <v>595</v>
      </c>
      <c r="B130" s="386">
        <v>101748</v>
      </c>
      <c r="C130" s="391">
        <v>3056142</v>
      </c>
    </row>
    <row r="131" spans="1:3">
      <c r="A131" s="393" t="s">
        <v>596</v>
      </c>
      <c r="B131" s="386">
        <v>2659807</v>
      </c>
      <c r="C131" s="391">
        <v>-5251181</v>
      </c>
    </row>
    <row r="132" spans="1:3">
      <c r="A132" s="393" t="s">
        <v>597</v>
      </c>
      <c r="B132" s="386">
        <v>142249</v>
      </c>
      <c r="C132" s="391">
        <v>-89102</v>
      </c>
    </row>
    <row r="133" spans="1:3">
      <c r="A133" s="393" t="s">
        <v>598</v>
      </c>
      <c r="B133" s="386">
        <v>-2508150</v>
      </c>
      <c r="C133" s="391">
        <v>-4516904</v>
      </c>
    </row>
    <row r="134" spans="1:3">
      <c r="A134" s="393" t="s">
        <v>599</v>
      </c>
      <c r="B134" s="386">
        <v>-31498</v>
      </c>
      <c r="C134" s="392" t="s">
        <v>573</v>
      </c>
    </row>
    <row r="135" spans="1:3">
      <c r="A135" s="393" t="s">
        <v>600</v>
      </c>
      <c r="B135" s="386">
        <v>124081</v>
      </c>
      <c r="C135" s="391">
        <v>314973</v>
      </c>
    </row>
    <row r="136" spans="1:3">
      <c r="A136" s="393" t="s">
        <v>613</v>
      </c>
      <c r="B136" s="386">
        <v>1062363</v>
      </c>
      <c r="C136" s="391">
        <v>-390124</v>
      </c>
    </row>
    <row r="137" spans="1:3">
      <c r="A137" s="393" t="s">
        <v>601</v>
      </c>
      <c r="B137" s="386">
        <v>-2845160</v>
      </c>
      <c r="C137" s="391">
        <v>-1107998</v>
      </c>
    </row>
    <row r="138" spans="1:3">
      <c r="A138" s="97" t="s">
        <v>602</v>
      </c>
      <c r="B138" s="386">
        <v>-2004617</v>
      </c>
      <c r="C138" s="391">
        <v>-2689990</v>
      </c>
    </row>
    <row r="139" spans="1:3">
      <c r="A139" s="97" t="s">
        <v>619</v>
      </c>
      <c r="B139" s="386">
        <v>671447</v>
      </c>
      <c r="C139" s="391">
        <v>1948179</v>
      </c>
    </row>
    <row r="140" spans="1:3">
      <c r="A140" s="97" t="s">
        <v>605</v>
      </c>
      <c r="B140" s="386">
        <v>-6748306</v>
      </c>
      <c r="C140" s="391">
        <v>1621795</v>
      </c>
    </row>
    <row r="141" spans="1:3">
      <c r="A141" s="100" t="s">
        <v>606</v>
      </c>
      <c r="B141" s="394">
        <v>62956534</v>
      </c>
      <c r="C141" s="395">
        <v>-17729640</v>
      </c>
    </row>
  </sheetData>
  <phoneticPr fontId="3"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42"/>
  <sheetViews>
    <sheetView topLeftCell="A88" zoomScale="85" zoomScaleNormal="85" workbookViewId="0">
      <selection activeCell="A107" sqref="A107"/>
    </sheetView>
  </sheetViews>
  <sheetFormatPr defaultRowHeight="16.5"/>
  <cols>
    <col min="1" max="1" width="85.125" bestFit="1" customWidth="1"/>
    <col min="2" max="3" width="17.75" bestFit="1" customWidth="1"/>
    <col min="4" max="4" width="16" bestFit="1" customWidth="1"/>
    <col min="5" max="5" width="17.75" bestFit="1" customWidth="1"/>
  </cols>
  <sheetData>
    <row r="1" spans="1:5">
      <c r="A1" s="102" t="s">
        <v>195</v>
      </c>
      <c r="B1" s="103"/>
      <c r="C1" s="103"/>
      <c r="D1" s="103"/>
      <c r="E1" s="103"/>
    </row>
    <row r="2" spans="1:5">
      <c r="A2" s="104" t="s">
        <v>347</v>
      </c>
      <c r="B2" s="103"/>
      <c r="C2" s="103"/>
      <c r="D2" s="103"/>
      <c r="E2" s="103"/>
    </row>
    <row r="3" spans="1:5">
      <c r="A3" s="104" t="s">
        <v>348</v>
      </c>
      <c r="B3" s="103"/>
      <c r="C3" s="103"/>
      <c r="D3" s="103"/>
      <c r="E3" s="103"/>
    </row>
    <row r="4" spans="1:5">
      <c r="A4" s="105" t="s">
        <v>125</v>
      </c>
      <c r="B4" s="103"/>
      <c r="C4" s="103"/>
      <c r="D4" s="103"/>
      <c r="E4" s="103"/>
    </row>
    <row r="5" spans="1:5">
      <c r="A5" s="127"/>
      <c r="B5" s="128" t="s">
        <v>349</v>
      </c>
      <c r="C5" s="129" t="s">
        <v>288</v>
      </c>
      <c r="D5" s="103"/>
      <c r="E5" s="103"/>
    </row>
    <row r="6" spans="1:5">
      <c r="A6" s="108" t="s">
        <v>200</v>
      </c>
      <c r="B6" s="111"/>
      <c r="C6" s="112"/>
      <c r="D6" s="103"/>
      <c r="E6" s="103"/>
    </row>
    <row r="7" spans="1:5">
      <c r="A7" s="108" t="s">
        <v>201</v>
      </c>
      <c r="B7" s="109">
        <v>1930637043307</v>
      </c>
      <c r="C7" s="110">
        <v>1686064222278</v>
      </c>
      <c r="D7" s="103"/>
      <c r="E7" s="103"/>
    </row>
    <row r="8" spans="1:5">
      <c r="A8" s="108" t="s">
        <v>202</v>
      </c>
      <c r="B8" s="109">
        <v>593498751455</v>
      </c>
      <c r="C8" s="110">
        <v>470647552525</v>
      </c>
      <c r="D8" s="103"/>
      <c r="E8" s="103"/>
    </row>
    <row r="9" spans="1:5">
      <c r="A9" s="108" t="s">
        <v>290</v>
      </c>
      <c r="B9" s="109">
        <v>695644209299</v>
      </c>
      <c r="C9" s="110">
        <v>518469298078</v>
      </c>
      <c r="D9" s="103"/>
      <c r="E9" s="103"/>
    </row>
    <row r="10" spans="1:5">
      <c r="A10" s="108" t="s">
        <v>204</v>
      </c>
      <c r="B10" s="109">
        <v>552331080813</v>
      </c>
      <c r="C10" s="110">
        <v>615551915344</v>
      </c>
      <c r="D10" s="103"/>
      <c r="E10" s="103"/>
    </row>
    <row r="11" spans="1:5">
      <c r="A11" s="108" t="s">
        <v>289</v>
      </c>
      <c r="B11" s="109">
        <v>3206790928</v>
      </c>
      <c r="C11" s="110">
        <v>3376195077</v>
      </c>
      <c r="D11" s="103"/>
      <c r="E11" s="103"/>
    </row>
    <row r="12" spans="1:5">
      <c r="A12" s="108" t="s">
        <v>206</v>
      </c>
      <c r="B12" s="109">
        <v>5929495275</v>
      </c>
      <c r="C12" s="110">
        <v>5614267136</v>
      </c>
      <c r="D12" s="103"/>
      <c r="E12" s="103"/>
    </row>
    <row r="13" spans="1:5">
      <c r="A13" s="108" t="s">
        <v>350</v>
      </c>
      <c r="B13" s="109">
        <v>15787464479</v>
      </c>
      <c r="C13" s="110">
        <v>14162389496</v>
      </c>
      <c r="D13" s="103"/>
      <c r="E13" s="103"/>
    </row>
    <row r="14" spans="1:5">
      <c r="A14" s="108" t="s">
        <v>351</v>
      </c>
      <c r="B14" s="109">
        <v>4203810180</v>
      </c>
      <c r="C14" s="110">
        <v>1268799488</v>
      </c>
      <c r="D14" s="103"/>
      <c r="E14" s="103"/>
    </row>
    <row r="15" spans="1:5">
      <c r="A15" s="108" t="s">
        <v>209</v>
      </c>
      <c r="B15" s="109">
        <v>11875651790</v>
      </c>
      <c r="C15" s="110">
        <v>3160842368</v>
      </c>
      <c r="D15" s="103"/>
      <c r="E15" s="103"/>
    </row>
    <row r="16" spans="1:5">
      <c r="A16" s="108" t="s">
        <v>210</v>
      </c>
      <c r="B16" s="109">
        <v>48159789088</v>
      </c>
      <c r="C16" s="110">
        <v>53812962766</v>
      </c>
      <c r="D16" s="103"/>
      <c r="E16" s="103"/>
    </row>
    <row r="17" spans="1:5">
      <c r="A17" s="108" t="s">
        <v>211</v>
      </c>
      <c r="B17" s="109">
        <v>2133233159040</v>
      </c>
      <c r="C17" s="110">
        <v>2072377026522</v>
      </c>
      <c r="D17" s="103"/>
      <c r="E17" s="103"/>
    </row>
    <row r="18" spans="1:5">
      <c r="A18" s="108" t="s">
        <v>290</v>
      </c>
      <c r="B18" s="109">
        <v>10565323784</v>
      </c>
      <c r="C18" s="110">
        <v>10215389696</v>
      </c>
      <c r="D18" s="103"/>
      <c r="E18" s="103"/>
    </row>
    <row r="19" spans="1:5">
      <c r="A19" s="108" t="s">
        <v>289</v>
      </c>
      <c r="B19" s="109">
        <v>10530664542</v>
      </c>
      <c r="C19" s="110">
        <v>19267530948</v>
      </c>
      <c r="D19" s="103"/>
      <c r="E19" s="103"/>
    </row>
    <row r="20" spans="1:5">
      <c r="A20" s="108" t="s">
        <v>214</v>
      </c>
      <c r="B20" s="109">
        <v>411351671756</v>
      </c>
      <c r="C20" s="110">
        <v>405235647374</v>
      </c>
      <c r="D20" s="103"/>
      <c r="E20" s="103"/>
    </row>
    <row r="21" spans="1:5">
      <c r="A21" s="108" t="s">
        <v>215</v>
      </c>
      <c r="B21" s="109">
        <v>1493281020587</v>
      </c>
      <c r="C21" s="110">
        <v>1450746613697</v>
      </c>
      <c r="D21" s="103"/>
      <c r="E21" s="103"/>
    </row>
    <row r="22" spans="1:5">
      <c r="A22" s="108" t="s">
        <v>216</v>
      </c>
      <c r="B22" s="109">
        <v>132514480759</v>
      </c>
      <c r="C22" s="110">
        <v>100788492416</v>
      </c>
      <c r="D22" s="103"/>
      <c r="E22" s="103"/>
    </row>
    <row r="23" spans="1:5">
      <c r="A23" s="108" t="s">
        <v>352</v>
      </c>
      <c r="B23" s="109">
        <v>3557560000</v>
      </c>
      <c r="C23" s="110">
        <v>3557560000</v>
      </c>
      <c r="D23" s="103"/>
      <c r="E23" s="103"/>
    </row>
    <row r="24" spans="1:5">
      <c r="A24" s="108" t="s">
        <v>351</v>
      </c>
      <c r="B24" s="109">
        <v>1773014070</v>
      </c>
      <c r="C24" s="110">
        <v>32171072</v>
      </c>
      <c r="D24" s="103"/>
      <c r="E24" s="103"/>
    </row>
    <row r="25" spans="1:5">
      <c r="A25" s="108" t="s">
        <v>219</v>
      </c>
      <c r="B25" s="109">
        <v>63607339032</v>
      </c>
      <c r="C25" s="110">
        <v>76390962631</v>
      </c>
      <c r="D25" s="103"/>
      <c r="E25" s="103"/>
    </row>
    <row r="26" spans="1:5">
      <c r="A26" s="108" t="s">
        <v>220</v>
      </c>
      <c r="B26" s="109">
        <v>6052084510</v>
      </c>
      <c r="C26" s="110">
        <v>6142658688</v>
      </c>
      <c r="D26" s="103"/>
      <c r="E26" s="103"/>
    </row>
    <row r="27" spans="1:5">
      <c r="A27" s="108" t="s">
        <v>221</v>
      </c>
      <c r="B27" s="109">
        <v>4063870202347</v>
      </c>
      <c r="C27" s="110">
        <v>3758441248800</v>
      </c>
      <c r="D27" s="103"/>
      <c r="E27" s="103"/>
    </row>
    <row r="28" spans="1:5">
      <c r="A28" s="108" t="s">
        <v>222</v>
      </c>
      <c r="B28" s="111"/>
      <c r="C28" s="112"/>
      <c r="D28" s="103"/>
      <c r="E28" s="103"/>
    </row>
    <row r="29" spans="1:5">
      <c r="A29" s="108" t="s">
        <v>223</v>
      </c>
      <c r="B29" s="109">
        <v>930727754749</v>
      </c>
      <c r="C29" s="110">
        <v>995459732771</v>
      </c>
      <c r="D29" s="103"/>
      <c r="E29" s="103"/>
    </row>
    <row r="30" spans="1:5">
      <c r="A30" s="108" t="s">
        <v>291</v>
      </c>
      <c r="B30" s="109">
        <v>471737026600</v>
      </c>
      <c r="C30" s="110">
        <v>407880923687</v>
      </c>
      <c r="D30" s="103"/>
      <c r="E30" s="103"/>
    </row>
    <row r="31" spans="1:5" s="366" customFormat="1">
      <c r="A31" s="381" t="s">
        <v>292</v>
      </c>
      <c r="B31" s="382">
        <v>276038929291</v>
      </c>
      <c r="C31" s="383">
        <v>355990470781</v>
      </c>
      <c r="D31" s="375"/>
      <c r="E31" s="375"/>
    </row>
    <row r="32" spans="1:5">
      <c r="A32" s="108" t="s">
        <v>293</v>
      </c>
      <c r="B32" s="109">
        <v>31212721170</v>
      </c>
      <c r="C32" s="110">
        <v>30749848690</v>
      </c>
      <c r="D32" s="103"/>
      <c r="E32" s="103"/>
    </row>
    <row r="33" spans="1:5">
      <c r="A33" s="108" t="s">
        <v>353</v>
      </c>
      <c r="B33" s="109">
        <v>2635710310</v>
      </c>
      <c r="C33" s="110">
        <v>8672731968</v>
      </c>
      <c r="D33" s="103"/>
      <c r="E33" s="103"/>
    </row>
    <row r="34" spans="1:5">
      <c r="A34" s="108" t="s">
        <v>228</v>
      </c>
      <c r="B34" s="109">
        <v>91454584</v>
      </c>
      <c r="C34" s="110">
        <v>655074455</v>
      </c>
      <c r="D34" s="103"/>
      <c r="E34" s="103"/>
    </row>
    <row r="35" spans="1:5">
      <c r="A35" s="108" t="s">
        <v>229</v>
      </c>
      <c r="B35" s="109">
        <v>32134424622</v>
      </c>
      <c r="C35" s="110">
        <v>34101638344</v>
      </c>
      <c r="D35" s="103"/>
      <c r="E35" s="103"/>
    </row>
    <row r="36" spans="1:5">
      <c r="A36" s="108" t="s">
        <v>354</v>
      </c>
      <c r="B36" s="109">
        <v>39745383320</v>
      </c>
      <c r="C36" s="110">
        <v>34854798229</v>
      </c>
      <c r="D36" s="103"/>
      <c r="E36" s="103"/>
    </row>
    <row r="37" spans="1:5">
      <c r="A37" s="108" t="s">
        <v>231</v>
      </c>
      <c r="B37" s="109">
        <v>77132104852</v>
      </c>
      <c r="C37" s="110">
        <v>122554246617</v>
      </c>
      <c r="D37" s="103"/>
      <c r="E37" s="103"/>
    </row>
    <row r="38" spans="1:5">
      <c r="A38" s="108" t="s">
        <v>232</v>
      </c>
      <c r="B38" s="109">
        <v>914876283336</v>
      </c>
      <c r="C38" s="110">
        <v>905653709044</v>
      </c>
      <c r="D38" s="103"/>
      <c r="E38" s="103"/>
    </row>
    <row r="39" spans="1:5">
      <c r="A39" s="108" t="s">
        <v>291</v>
      </c>
      <c r="B39" s="109">
        <v>13064648028</v>
      </c>
      <c r="C39" s="110">
        <v>12307419358</v>
      </c>
      <c r="D39" s="103"/>
      <c r="E39" s="103"/>
    </row>
    <row r="40" spans="1:5">
      <c r="A40" s="108" t="s">
        <v>292</v>
      </c>
      <c r="B40" s="109">
        <v>414250453260</v>
      </c>
      <c r="C40" s="110">
        <v>507116631655</v>
      </c>
      <c r="D40" s="103"/>
      <c r="E40" s="103"/>
    </row>
    <row r="41" spans="1:5">
      <c r="A41" s="108" t="s">
        <v>293</v>
      </c>
      <c r="B41" s="109">
        <v>104232862921</v>
      </c>
      <c r="C41" s="110">
        <v>108655819427</v>
      </c>
      <c r="D41" s="103"/>
      <c r="E41" s="103"/>
    </row>
    <row r="42" spans="1:5">
      <c r="A42" s="108" t="s">
        <v>355</v>
      </c>
      <c r="B42" s="111"/>
      <c r="C42" s="110">
        <v>1072132608</v>
      </c>
      <c r="D42" s="103"/>
      <c r="E42" s="103"/>
    </row>
    <row r="43" spans="1:5">
      <c r="A43" s="108" t="s">
        <v>238</v>
      </c>
      <c r="B43" s="109">
        <v>137139795312</v>
      </c>
      <c r="C43" s="110">
        <v>130684023874</v>
      </c>
      <c r="D43" s="103"/>
      <c r="E43" s="103"/>
    </row>
    <row r="44" spans="1:5">
      <c r="A44" s="108" t="s">
        <v>239</v>
      </c>
      <c r="B44" s="109">
        <v>230247111595</v>
      </c>
      <c r="C44" s="110">
        <v>131453490442</v>
      </c>
      <c r="D44" s="103"/>
      <c r="E44" s="103"/>
    </row>
    <row r="45" spans="1:5">
      <c r="A45" s="108" t="s">
        <v>240</v>
      </c>
      <c r="B45" s="109">
        <v>7607720480</v>
      </c>
      <c r="C45" s="110">
        <v>6779937280</v>
      </c>
      <c r="D45" s="103"/>
      <c r="E45" s="103"/>
    </row>
    <row r="46" spans="1:5">
      <c r="A46" s="108" t="s">
        <v>354</v>
      </c>
      <c r="B46" s="109">
        <v>7792251740</v>
      </c>
      <c r="C46" s="110">
        <v>7042814400</v>
      </c>
      <c r="D46" s="103"/>
      <c r="E46" s="103"/>
    </row>
    <row r="47" spans="1:5">
      <c r="A47" s="108" t="s">
        <v>256</v>
      </c>
      <c r="B47" s="109">
        <v>541440000</v>
      </c>
      <c r="C47" s="110">
        <v>541440000</v>
      </c>
      <c r="D47" s="103"/>
      <c r="E47" s="103"/>
    </row>
    <row r="48" spans="1:5">
      <c r="A48" s="108" t="s">
        <v>242</v>
      </c>
      <c r="B48" s="109">
        <v>1845604038085</v>
      </c>
      <c r="C48" s="110">
        <v>1901113441815</v>
      </c>
      <c r="D48" s="103"/>
      <c r="E48" s="103"/>
    </row>
    <row r="49" spans="1:5">
      <c r="A49" s="108" t="s">
        <v>243</v>
      </c>
      <c r="B49" s="111"/>
      <c r="C49" s="112"/>
      <c r="D49" s="103"/>
      <c r="E49" s="103"/>
    </row>
    <row r="50" spans="1:5">
      <c r="A50" s="108" t="s">
        <v>244</v>
      </c>
      <c r="B50" s="109">
        <v>1522302173431</v>
      </c>
      <c r="C50" s="110">
        <v>1292436125023</v>
      </c>
      <c r="D50" s="103"/>
      <c r="E50" s="103"/>
    </row>
    <row r="51" spans="1:5">
      <c r="A51" s="108" t="s">
        <v>245</v>
      </c>
      <c r="B51" s="109">
        <v>61115070000</v>
      </c>
      <c r="C51" s="110">
        <v>61115070000</v>
      </c>
      <c r="D51" s="103"/>
      <c r="E51" s="103"/>
    </row>
    <row r="52" spans="1:5">
      <c r="A52" s="108" t="s">
        <v>246</v>
      </c>
      <c r="B52" s="109">
        <v>117766679366</v>
      </c>
      <c r="C52" s="110">
        <v>117766679366</v>
      </c>
      <c r="D52" s="103"/>
      <c r="E52" s="103"/>
    </row>
    <row r="53" spans="1:5">
      <c r="A53" s="108" t="s">
        <v>356</v>
      </c>
      <c r="B53" s="109">
        <v>-19641547096</v>
      </c>
      <c r="C53" s="110">
        <v>-39528618669</v>
      </c>
      <c r="D53" s="103"/>
      <c r="E53" s="103"/>
    </row>
    <row r="54" spans="1:5">
      <c r="A54" s="108" t="s">
        <v>357</v>
      </c>
      <c r="B54" s="109">
        <v>18640453570</v>
      </c>
      <c r="C54" s="110">
        <v>-26258559358</v>
      </c>
      <c r="D54" s="103"/>
      <c r="E54" s="103"/>
    </row>
    <row r="55" spans="1:5">
      <c r="A55" s="108" t="s">
        <v>249</v>
      </c>
      <c r="B55" s="109">
        <v>1344421517591</v>
      </c>
      <c r="C55" s="110">
        <v>1179341553684</v>
      </c>
      <c r="D55" s="103"/>
      <c r="E55" s="103"/>
    </row>
    <row r="56" spans="1:5">
      <c r="A56" s="108" t="s">
        <v>157</v>
      </c>
      <c r="B56" s="109">
        <v>695963990831</v>
      </c>
      <c r="C56" s="110">
        <v>564891681962</v>
      </c>
      <c r="D56" s="103"/>
      <c r="E56" s="103"/>
    </row>
    <row r="57" spans="1:5">
      <c r="A57" s="108" t="s">
        <v>250</v>
      </c>
      <c r="B57" s="109">
        <v>2218266164262</v>
      </c>
      <c r="C57" s="110">
        <v>1857327806985</v>
      </c>
      <c r="D57" s="103"/>
      <c r="E57" s="103"/>
    </row>
    <row r="58" spans="1:5">
      <c r="A58" s="113" t="s">
        <v>251</v>
      </c>
      <c r="B58" s="114">
        <v>4063870202347</v>
      </c>
      <c r="C58" s="123">
        <v>3758441248800</v>
      </c>
      <c r="D58" s="103"/>
      <c r="E58" s="103"/>
    </row>
    <row r="59" spans="1:5">
      <c r="A59" s="133"/>
      <c r="B59" s="103"/>
      <c r="C59" s="103"/>
      <c r="D59" s="103"/>
      <c r="E59" s="103"/>
    </row>
    <row r="60" spans="1:5">
      <c r="A60" s="102" t="s">
        <v>122</v>
      </c>
      <c r="B60" s="103"/>
      <c r="C60" s="103"/>
      <c r="D60" s="103"/>
      <c r="E60" s="103"/>
    </row>
    <row r="61" spans="1:5">
      <c r="A61" s="104" t="s">
        <v>358</v>
      </c>
      <c r="B61" s="103"/>
      <c r="C61" s="103"/>
      <c r="D61" s="103"/>
      <c r="E61" s="103"/>
    </row>
    <row r="62" spans="1:5">
      <c r="A62" s="104" t="s">
        <v>275</v>
      </c>
      <c r="B62" s="103"/>
      <c r="C62" s="103"/>
      <c r="D62" s="103"/>
      <c r="E62" s="103"/>
    </row>
    <row r="63" spans="1:5">
      <c r="A63" s="105" t="s">
        <v>125</v>
      </c>
      <c r="B63" s="103"/>
      <c r="C63" s="103"/>
      <c r="D63" s="103"/>
      <c r="E63" s="103"/>
    </row>
    <row r="64" spans="1:5">
      <c r="A64" s="488"/>
      <c r="B64" s="490" t="s">
        <v>359</v>
      </c>
      <c r="C64" s="491"/>
      <c r="D64" s="490" t="s">
        <v>276</v>
      </c>
      <c r="E64" s="492"/>
    </row>
    <row r="65" spans="1:5">
      <c r="A65" s="489"/>
      <c r="B65" s="106" t="s">
        <v>128</v>
      </c>
      <c r="C65" s="106" t="s">
        <v>129</v>
      </c>
      <c r="D65" s="106" t="s">
        <v>128</v>
      </c>
      <c r="E65" s="107" t="s">
        <v>129</v>
      </c>
    </row>
    <row r="66" spans="1:5">
      <c r="A66" s="108" t="s">
        <v>360</v>
      </c>
      <c r="B66" s="109">
        <v>1019353980512</v>
      </c>
      <c r="C66" s="109">
        <v>2007634962364</v>
      </c>
      <c r="D66" s="109">
        <v>625011276872</v>
      </c>
      <c r="E66" s="110">
        <v>1414912212764</v>
      </c>
    </row>
    <row r="67" spans="1:5">
      <c r="A67" s="108" t="s">
        <v>131</v>
      </c>
      <c r="B67" s="109">
        <v>496927356492</v>
      </c>
      <c r="C67" s="109">
        <v>986667417037</v>
      </c>
      <c r="D67" s="109">
        <v>298441933405</v>
      </c>
      <c r="E67" s="110">
        <v>706643664505</v>
      </c>
    </row>
    <row r="68" spans="1:5">
      <c r="A68" s="108" t="s">
        <v>132</v>
      </c>
      <c r="B68" s="109">
        <v>522426624020</v>
      </c>
      <c r="C68" s="109">
        <v>1020967545327</v>
      </c>
      <c r="D68" s="109">
        <v>326569343467</v>
      </c>
      <c r="E68" s="110">
        <v>708268548259</v>
      </c>
    </row>
    <row r="69" spans="1:5">
      <c r="A69" s="108" t="s">
        <v>133</v>
      </c>
      <c r="B69" s="109">
        <v>348640942792</v>
      </c>
      <c r="C69" s="109">
        <v>663612914963</v>
      </c>
      <c r="D69" s="109">
        <v>276288665272</v>
      </c>
      <c r="E69" s="110">
        <v>590845653989</v>
      </c>
    </row>
    <row r="70" spans="1:5">
      <c r="A70" s="108" t="s">
        <v>134</v>
      </c>
      <c r="B70" s="109">
        <v>173785681228</v>
      </c>
      <c r="C70" s="109">
        <v>357354630364</v>
      </c>
      <c r="D70" s="109">
        <v>50280678195</v>
      </c>
      <c r="E70" s="110">
        <v>117422894270</v>
      </c>
    </row>
    <row r="71" spans="1:5">
      <c r="A71" s="108" t="s">
        <v>135</v>
      </c>
      <c r="B71" s="109">
        <v>1644794804</v>
      </c>
      <c r="C71" s="109">
        <v>2264334354</v>
      </c>
      <c r="D71" s="109">
        <v>1047354908</v>
      </c>
      <c r="E71" s="110">
        <v>1960112266</v>
      </c>
    </row>
    <row r="72" spans="1:5">
      <c r="A72" s="108" t="s">
        <v>136</v>
      </c>
      <c r="B72" s="109">
        <v>1327686582</v>
      </c>
      <c r="C72" s="109">
        <v>2061280474</v>
      </c>
      <c r="D72" s="109">
        <v>1320796389</v>
      </c>
      <c r="E72" s="110">
        <v>4323085460</v>
      </c>
    </row>
    <row r="73" spans="1:5">
      <c r="A73" s="108" t="s">
        <v>138</v>
      </c>
      <c r="B73" s="109">
        <v>7461039261</v>
      </c>
      <c r="C73" s="109">
        <v>18636527118</v>
      </c>
      <c r="D73" s="109">
        <v>1217373558</v>
      </c>
      <c r="E73" s="110">
        <v>18533173171</v>
      </c>
    </row>
    <row r="74" spans="1:5">
      <c r="A74" s="108" t="s">
        <v>139</v>
      </c>
      <c r="B74" s="109">
        <v>14926154501</v>
      </c>
      <c r="C74" s="109">
        <v>35542649641</v>
      </c>
      <c r="D74" s="109">
        <v>9908209307</v>
      </c>
      <c r="E74" s="110">
        <v>41637263802</v>
      </c>
    </row>
    <row r="75" spans="1:5">
      <c r="A75" s="108" t="s">
        <v>140</v>
      </c>
      <c r="B75" s="109">
        <v>15020269390</v>
      </c>
      <c r="C75" s="109">
        <v>26683208309</v>
      </c>
      <c r="D75" s="109">
        <v>11843512951</v>
      </c>
      <c r="E75" s="110">
        <v>18734513089</v>
      </c>
    </row>
    <row r="76" spans="1:5">
      <c r="A76" s="108" t="s">
        <v>141</v>
      </c>
      <c r="B76" s="109">
        <v>181657943600</v>
      </c>
      <c r="C76" s="109">
        <v>367334770030</v>
      </c>
      <c r="D76" s="109">
        <v>53159913916</v>
      </c>
      <c r="E76" s="110">
        <v>110690343534</v>
      </c>
    </row>
    <row r="77" spans="1:5">
      <c r="A77" s="108" t="s">
        <v>142</v>
      </c>
      <c r="B77" s="109">
        <v>45908040065</v>
      </c>
      <c r="C77" s="109">
        <v>97384173217</v>
      </c>
      <c r="D77" s="109">
        <v>7639660088</v>
      </c>
      <c r="E77" s="110">
        <v>25669946551</v>
      </c>
    </row>
    <row r="78" spans="1:5">
      <c r="A78" s="108" t="s">
        <v>170</v>
      </c>
      <c r="B78" s="109">
        <v>135749903535</v>
      </c>
      <c r="C78" s="109">
        <v>269950596813</v>
      </c>
      <c r="D78" s="109">
        <v>45520253828</v>
      </c>
      <c r="E78" s="110">
        <v>85020396983</v>
      </c>
    </row>
    <row r="79" spans="1:5">
      <c r="A79" s="108" t="s">
        <v>144</v>
      </c>
      <c r="B79" s="111"/>
      <c r="C79" s="111"/>
      <c r="D79" s="111"/>
      <c r="E79" s="112"/>
    </row>
    <row r="80" spans="1:5">
      <c r="A80" s="108" t="s">
        <v>145</v>
      </c>
      <c r="B80" s="111"/>
      <c r="C80" s="111"/>
      <c r="D80" s="111"/>
      <c r="E80" s="112"/>
    </row>
    <row r="81" spans="1:5">
      <c r="A81" s="108" t="s">
        <v>146</v>
      </c>
      <c r="B81" s="109">
        <v>1698668610</v>
      </c>
      <c r="C81" s="109">
        <v>1784758161</v>
      </c>
      <c r="D81" s="109">
        <v>638783471</v>
      </c>
      <c r="E81" s="110">
        <v>2464082606</v>
      </c>
    </row>
    <row r="82" spans="1:5">
      <c r="A82" s="108" t="s">
        <v>147</v>
      </c>
      <c r="B82" s="111"/>
      <c r="C82" s="111"/>
      <c r="D82" s="111"/>
      <c r="E82" s="112"/>
    </row>
    <row r="83" spans="1:5">
      <c r="A83" s="108" t="s">
        <v>148</v>
      </c>
      <c r="B83" s="109">
        <v>1966770432</v>
      </c>
      <c r="C83" s="109">
        <v>1014624976</v>
      </c>
      <c r="D83" s="109">
        <v>298793794</v>
      </c>
      <c r="E83" s="110">
        <v>-1077107810</v>
      </c>
    </row>
    <row r="84" spans="1:5">
      <c r="A84" s="108" t="s">
        <v>149</v>
      </c>
      <c r="B84" s="109">
        <v>1550061375</v>
      </c>
      <c r="C84" s="109">
        <v>66553571182</v>
      </c>
      <c r="D84" s="109">
        <v>-7636404507</v>
      </c>
      <c r="E84" s="110">
        <v>59515933017</v>
      </c>
    </row>
    <row r="85" spans="1:5">
      <c r="A85" s="108" t="s">
        <v>150</v>
      </c>
      <c r="B85" s="109">
        <v>2264048115</v>
      </c>
      <c r="C85" s="109">
        <v>6176842199</v>
      </c>
      <c r="D85" s="109">
        <v>-3499720675</v>
      </c>
      <c r="E85" s="110">
        <v>649417899</v>
      </c>
    </row>
    <row r="86" spans="1:5">
      <c r="A86" s="108" t="s">
        <v>173</v>
      </c>
      <c r="B86" s="109">
        <v>7479548532</v>
      </c>
      <c r="C86" s="109">
        <v>75529796518</v>
      </c>
      <c r="D86" s="109">
        <v>-10198547917</v>
      </c>
      <c r="E86" s="110">
        <v>61552325712</v>
      </c>
    </row>
    <row r="87" spans="1:5">
      <c r="A87" s="108" t="s">
        <v>174</v>
      </c>
      <c r="B87" s="109">
        <v>143229452067</v>
      </c>
      <c r="C87" s="109">
        <v>345480393331</v>
      </c>
      <c r="D87" s="109">
        <v>35321705911</v>
      </c>
      <c r="E87" s="110">
        <v>146572722695</v>
      </c>
    </row>
    <row r="88" spans="1:5">
      <c r="A88" s="108" t="s">
        <v>175</v>
      </c>
      <c r="B88" s="111"/>
      <c r="C88" s="111"/>
      <c r="D88" s="111"/>
      <c r="E88" s="112"/>
    </row>
    <row r="89" spans="1:5">
      <c r="A89" s="108" t="s">
        <v>154</v>
      </c>
      <c r="B89" s="109">
        <v>90448234986</v>
      </c>
      <c r="C89" s="109">
        <v>175433421124</v>
      </c>
      <c r="D89" s="109">
        <v>39917923933</v>
      </c>
      <c r="E89" s="110">
        <v>73531287987</v>
      </c>
    </row>
    <row r="90" spans="1:5">
      <c r="A90" s="108" t="s">
        <v>155</v>
      </c>
      <c r="B90" s="109">
        <v>45301668549</v>
      </c>
      <c r="C90" s="109">
        <v>94517175689</v>
      </c>
      <c r="D90" s="109">
        <v>5602329895</v>
      </c>
      <c r="E90" s="110">
        <v>11489108996</v>
      </c>
    </row>
    <row r="91" spans="1:5">
      <c r="A91" s="108" t="s">
        <v>176</v>
      </c>
      <c r="B91" s="111"/>
      <c r="C91" s="111"/>
      <c r="D91" s="111"/>
      <c r="E91" s="112"/>
    </row>
    <row r="92" spans="1:5">
      <c r="A92" s="108" t="s">
        <v>154</v>
      </c>
      <c r="B92" s="109">
        <v>86584942040</v>
      </c>
      <c r="C92" s="109">
        <v>220566954487</v>
      </c>
      <c r="D92" s="109">
        <v>27429697751</v>
      </c>
      <c r="E92" s="110">
        <v>112220790343</v>
      </c>
    </row>
    <row r="93" spans="1:5">
      <c r="A93" s="108" t="s">
        <v>157</v>
      </c>
      <c r="B93" s="109">
        <v>56644510027</v>
      </c>
      <c r="C93" s="109">
        <v>124913438844</v>
      </c>
      <c r="D93" s="109">
        <v>7892008160</v>
      </c>
      <c r="E93" s="110">
        <v>34351932352</v>
      </c>
    </row>
    <row r="94" spans="1:5">
      <c r="A94" s="108" t="s">
        <v>158</v>
      </c>
      <c r="B94" s="111"/>
      <c r="C94" s="111"/>
      <c r="D94" s="111"/>
      <c r="E94" s="112"/>
    </row>
    <row r="95" spans="1:5">
      <c r="A95" s="108" t="s">
        <v>159</v>
      </c>
      <c r="B95" s="109">
        <v>1505</v>
      </c>
      <c r="C95" s="109">
        <v>2919</v>
      </c>
      <c r="D95" s="111">
        <v>659</v>
      </c>
      <c r="E95" s="110">
        <v>1215</v>
      </c>
    </row>
    <row r="96" spans="1:5">
      <c r="A96" s="113" t="s">
        <v>160</v>
      </c>
      <c r="B96" s="114">
        <v>1505</v>
      </c>
      <c r="C96" s="114">
        <v>2919</v>
      </c>
      <c r="D96" s="115">
        <v>659</v>
      </c>
      <c r="E96" s="123">
        <v>1215</v>
      </c>
    </row>
    <row r="98" spans="1:3">
      <c r="A98" s="399" t="s">
        <v>614</v>
      </c>
    </row>
    <row r="99" spans="1:3">
      <c r="A99" s="384"/>
    </row>
    <row r="100" spans="1:3">
      <c r="A100" s="384" t="s">
        <v>615</v>
      </c>
    </row>
    <row r="101" spans="1:3">
      <c r="A101" s="94" t="s">
        <v>558</v>
      </c>
    </row>
    <row r="102" spans="1:3">
      <c r="A102" s="124" t="s">
        <v>367</v>
      </c>
      <c r="B102" s="400" t="s">
        <v>616</v>
      </c>
      <c r="C102" s="401" t="s">
        <v>617</v>
      </c>
    </row>
    <row r="103" spans="1:3">
      <c r="A103" s="390" t="s">
        <v>561</v>
      </c>
      <c r="B103" s="386">
        <v>367334770</v>
      </c>
      <c r="C103" s="391">
        <v>110690343</v>
      </c>
    </row>
    <row r="104" spans="1:3">
      <c r="A104" s="390" t="s">
        <v>562</v>
      </c>
      <c r="B104" s="387"/>
      <c r="C104" s="392"/>
    </row>
    <row r="105" spans="1:3">
      <c r="A105" s="390" t="s">
        <v>563</v>
      </c>
      <c r="B105" s="386">
        <v>14100204</v>
      </c>
      <c r="C105" s="391">
        <v>21918598</v>
      </c>
    </row>
    <row r="106" spans="1:3">
      <c r="A106" s="390" t="s">
        <v>564</v>
      </c>
      <c r="B106" s="386">
        <v>6496548</v>
      </c>
      <c r="C106" s="391">
        <v>5859822</v>
      </c>
    </row>
    <row r="107" spans="1:3">
      <c r="A107" s="390" t="s">
        <v>565</v>
      </c>
      <c r="B107" s="386">
        <v>15060594</v>
      </c>
      <c r="C107" s="391">
        <v>6890268</v>
      </c>
    </row>
    <row r="108" spans="1:3">
      <c r="A108" s="390" t="s">
        <v>566</v>
      </c>
      <c r="B108" s="386">
        <v>8529728</v>
      </c>
      <c r="C108" s="391">
        <v>10837134</v>
      </c>
    </row>
    <row r="109" spans="1:3" s="366" customFormat="1">
      <c r="A109" s="396" t="s">
        <v>567</v>
      </c>
      <c r="B109" s="397">
        <v>36415707</v>
      </c>
      <c r="C109" s="398">
        <v>35801383</v>
      </c>
    </row>
    <row r="110" spans="1:3">
      <c r="A110" s="390" t="s">
        <v>568</v>
      </c>
      <c r="B110" s="386">
        <v>12709289</v>
      </c>
      <c r="C110" s="391">
        <v>13291333</v>
      </c>
    </row>
    <row r="111" spans="1:3">
      <c r="A111" s="390" t="s">
        <v>569</v>
      </c>
      <c r="B111" s="386">
        <v>27460</v>
      </c>
      <c r="C111" s="391">
        <v>853130</v>
      </c>
    </row>
    <row r="112" spans="1:3">
      <c r="A112" s="390" t="s">
        <v>570</v>
      </c>
      <c r="B112" s="387" t="s">
        <v>573</v>
      </c>
      <c r="C112" s="391">
        <v>8426</v>
      </c>
    </row>
    <row r="113" spans="1:3">
      <c r="A113" s="390" t="s">
        <v>575</v>
      </c>
      <c r="B113" s="386">
        <v>36756</v>
      </c>
      <c r="C113" s="391">
        <v>20550</v>
      </c>
    </row>
    <row r="114" spans="1:3">
      <c r="A114" s="390" t="s">
        <v>618</v>
      </c>
      <c r="B114" s="386">
        <v>-42014</v>
      </c>
      <c r="C114" s="391">
        <v>8334585</v>
      </c>
    </row>
    <row r="115" spans="1:3">
      <c r="A115" s="390" t="s">
        <v>611</v>
      </c>
      <c r="B115" s="386">
        <v>-120443</v>
      </c>
      <c r="C115" s="391">
        <v>2364887</v>
      </c>
    </row>
    <row r="116" spans="1:3">
      <c r="A116" s="390" t="s">
        <v>612</v>
      </c>
      <c r="B116" s="386">
        <v>1394595</v>
      </c>
      <c r="C116" s="391">
        <v>-19609</v>
      </c>
    </row>
    <row r="117" spans="1:3">
      <c r="A117" s="390" t="s">
        <v>580</v>
      </c>
      <c r="B117" s="386">
        <v>-26683208</v>
      </c>
      <c r="C117" s="391">
        <v>-18734513</v>
      </c>
    </row>
    <row r="118" spans="1:3">
      <c r="A118" s="390" t="s">
        <v>582</v>
      </c>
      <c r="B118" s="386">
        <v>-937064</v>
      </c>
      <c r="C118" s="391">
        <v>-973519</v>
      </c>
    </row>
    <row r="119" spans="1:3">
      <c r="A119" s="390" t="s">
        <v>583</v>
      </c>
      <c r="B119" s="386">
        <v>-24050</v>
      </c>
      <c r="C119" s="391">
        <v>-29261</v>
      </c>
    </row>
    <row r="120" spans="1:3">
      <c r="A120" s="390" t="s">
        <v>584</v>
      </c>
      <c r="B120" s="386">
        <v>-6064560</v>
      </c>
      <c r="C120" s="391">
        <v>-4265601</v>
      </c>
    </row>
    <row r="121" spans="1:3">
      <c r="A121" s="390" t="s">
        <v>585</v>
      </c>
      <c r="B121" s="386">
        <v>-175011493</v>
      </c>
      <c r="C121" s="391">
        <v>-27400292</v>
      </c>
    </row>
    <row r="122" spans="1:3">
      <c r="A122" s="390" t="s">
        <v>586</v>
      </c>
      <c r="B122" s="386">
        <v>-2506217</v>
      </c>
      <c r="C122" s="391">
        <v>4109859</v>
      </c>
    </row>
    <row r="123" spans="1:3">
      <c r="A123" s="390" t="s">
        <v>587</v>
      </c>
      <c r="B123" s="386">
        <v>326312</v>
      </c>
      <c r="C123" s="391">
        <v>616825</v>
      </c>
    </row>
    <row r="124" spans="1:3">
      <c r="A124" s="390" t="s">
        <v>588</v>
      </c>
      <c r="B124" s="386">
        <v>-1053074</v>
      </c>
      <c r="C124" s="391">
        <v>-8899406</v>
      </c>
    </row>
    <row r="125" spans="1:3">
      <c r="A125" s="393" t="s">
        <v>589</v>
      </c>
      <c r="B125" s="386">
        <v>6158172</v>
      </c>
      <c r="C125" s="391">
        <v>9992879</v>
      </c>
    </row>
    <row r="126" spans="1:3">
      <c r="A126" s="393" t="s">
        <v>590</v>
      </c>
      <c r="B126" s="386">
        <v>74604747</v>
      </c>
      <c r="C126" s="391">
        <v>52992088</v>
      </c>
    </row>
    <row r="127" spans="1:3">
      <c r="A127" s="393" t="s">
        <v>591</v>
      </c>
      <c r="B127" s="386">
        <v>3893982</v>
      </c>
      <c r="C127" s="391">
        <v>1649669</v>
      </c>
    </row>
    <row r="128" spans="1:3">
      <c r="A128" s="393" t="s">
        <v>592</v>
      </c>
      <c r="B128" s="386">
        <v>42615763</v>
      </c>
      <c r="C128" s="391">
        <v>-24173454</v>
      </c>
    </row>
    <row r="129" spans="1:3">
      <c r="A129" s="393" t="s">
        <v>593</v>
      </c>
      <c r="B129" s="386">
        <v>-4140789</v>
      </c>
      <c r="C129" s="391">
        <v>-9684934</v>
      </c>
    </row>
    <row r="130" spans="1:3">
      <c r="A130" s="393" t="s">
        <v>594</v>
      </c>
      <c r="B130" s="386">
        <v>28632836</v>
      </c>
      <c r="C130" s="391">
        <v>-29583642</v>
      </c>
    </row>
    <row r="131" spans="1:3">
      <c r="A131" s="393" t="s">
        <v>595</v>
      </c>
      <c r="B131" s="386">
        <v>-4803827</v>
      </c>
      <c r="C131" s="391">
        <v>-184110</v>
      </c>
    </row>
    <row r="132" spans="1:3">
      <c r="A132" s="393" t="s">
        <v>596</v>
      </c>
      <c r="B132" s="386">
        <v>4466125</v>
      </c>
      <c r="C132" s="391">
        <v>4664744</v>
      </c>
    </row>
    <row r="133" spans="1:3">
      <c r="A133" s="393" t="s">
        <v>597</v>
      </c>
      <c r="B133" s="386">
        <v>11922</v>
      </c>
      <c r="C133" s="391">
        <v>-274503</v>
      </c>
    </row>
    <row r="134" spans="1:3">
      <c r="A134" s="393" t="s">
        <v>598</v>
      </c>
      <c r="B134" s="386">
        <v>6628899</v>
      </c>
      <c r="C134" s="391">
        <v>-2582100</v>
      </c>
    </row>
    <row r="135" spans="1:3">
      <c r="A135" s="393" t="s">
        <v>599</v>
      </c>
      <c r="B135" s="386">
        <v>-148896</v>
      </c>
      <c r="C135" s="391">
        <v>-299221</v>
      </c>
    </row>
    <row r="136" spans="1:3">
      <c r="A136" s="393" t="s">
        <v>600</v>
      </c>
      <c r="B136" s="386">
        <v>600834</v>
      </c>
      <c r="C136" s="391">
        <v>-471071</v>
      </c>
    </row>
    <row r="137" spans="1:3">
      <c r="A137" s="393" t="s">
        <v>613</v>
      </c>
      <c r="B137" s="386">
        <v>-2101371</v>
      </c>
      <c r="C137" s="391">
        <v>689898</v>
      </c>
    </row>
    <row r="138" spans="1:3">
      <c r="A138" s="393" t="s">
        <v>601</v>
      </c>
      <c r="B138" s="386">
        <v>-5827438</v>
      </c>
      <c r="C138" s="391">
        <v>-461834</v>
      </c>
    </row>
    <row r="139" spans="1:3">
      <c r="A139" s="97" t="s">
        <v>602</v>
      </c>
      <c r="B139" s="386">
        <v>-3278484</v>
      </c>
      <c r="C139" s="391">
        <v>-2617572</v>
      </c>
    </row>
    <row r="140" spans="1:3">
      <c r="A140" s="97" t="s">
        <v>619</v>
      </c>
      <c r="B140" s="386">
        <v>1428730</v>
      </c>
      <c r="C140" s="391">
        <v>-7816</v>
      </c>
    </row>
    <row r="141" spans="1:3">
      <c r="A141" s="97" t="s">
        <v>605</v>
      </c>
      <c r="B141" s="386">
        <v>-14703912</v>
      </c>
      <c r="C141" s="391">
        <v>9436178</v>
      </c>
    </row>
    <row r="142" spans="1:3">
      <c r="A142" s="100" t="s">
        <v>606</v>
      </c>
      <c r="B142" s="394">
        <v>384027133</v>
      </c>
      <c r="C142" s="395">
        <v>170360141</v>
      </c>
    </row>
  </sheetData>
  <mergeCells count="3">
    <mergeCell ref="A64:A65"/>
    <mergeCell ref="B64:C64"/>
    <mergeCell ref="D64:E64"/>
  </mergeCells>
  <phoneticPr fontId="3"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43"/>
  <sheetViews>
    <sheetView topLeftCell="A13" zoomScale="85" zoomScaleNormal="85" workbookViewId="0">
      <selection activeCell="B31" sqref="B31"/>
    </sheetView>
  </sheetViews>
  <sheetFormatPr defaultRowHeight="16.5"/>
  <cols>
    <col min="1" max="1" width="61" customWidth="1"/>
    <col min="2" max="3" width="17.75" bestFit="1" customWidth="1"/>
    <col min="4" max="4" width="16" bestFit="1" customWidth="1"/>
    <col min="5" max="5" width="17.75" bestFit="1" customWidth="1"/>
  </cols>
  <sheetData>
    <row r="1" spans="1:5">
      <c r="A1" s="102" t="s">
        <v>195</v>
      </c>
      <c r="B1" s="103"/>
      <c r="C1" s="103"/>
      <c r="D1" s="103"/>
      <c r="E1" s="103"/>
    </row>
    <row r="2" spans="1:5">
      <c r="A2" s="104" t="s">
        <v>361</v>
      </c>
      <c r="B2" s="103"/>
      <c r="C2" s="103"/>
      <c r="D2" s="103"/>
      <c r="E2" s="103"/>
    </row>
    <row r="3" spans="1:5">
      <c r="A3" s="104" t="s">
        <v>286</v>
      </c>
      <c r="B3" s="103"/>
      <c r="C3" s="103"/>
      <c r="D3" s="103"/>
      <c r="E3" s="103"/>
    </row>
    <row r="4" spans="1:5">
      <c r="A4" s="105" t="s">
        <v>125</v>
      </c>
      <c r="B4" s="103"/>
      <c r="C4" s="103"/>
      <c r="D4" s="103"/>
      <c r="E4" s="103"/>
    </row>
    <row r="5" spans="1:5">
      <c r="A5" s="127"/>
      <c r="B5" s="128" t="s">
        <v>362</v>
      </c>
      <c r="C5" s="129" t="s">
        <v>288</v>
      </c>
      <c r="D5" s="103"/>
      <c r="E5" s="103"/>
    </row>
    <row r="6" spans="1:5">
      <c r="A6" s="108" t="s">
        <v>200</v>
      </c>
      <c r="B6" s="111"/>
      <c r="C6" s="112"/>
      <c r="D6" s="103"/>
      <c r="E6" s="103"/>
    </row>
    <row r="7" spans="1:5">
      <c r="A7" s="108" t="s">
        <v>201</v>
      </c>
      <c r="B7" s="109">
        <v>2086587547076</v>
      </c>
      <c r="C7" s="110">
        <v>1686064222278</v>
      </c>
      <c r="D7" s="103"/>
      <c r="E7" s="103"/>
    </row>
    <row r="8" spans="1:5">
      <c r="A8" s="108" t="s">
        <v>202</v>
      </c>
      <c r="B8" s="109">
        <v>726346351787</v>
      </c>
      <c r="C8" s="110">
        <v>470647552525</v>
      </c>
      <c r="D8" s="103"/>
      <c r="E8" s="103"/>
    </row>
    <row r="9" spans="1:5">
      <c r="A9" s="108" t="s">
        <v>290</v>
      </c>
      <c r="B9" s="109">
        <v>637073291021</v>
      </c>
      <c r="C9" s="110">
        <v>518469298078</v>
      </c>
      <c r="D9" s="103"/>
      <c r="E9" s="103"/>
    </row>
    <row r="10" spans="1:5">
      <c r="A10" s="108" t="s">
        <v>204</v>
      </c>
      <c r="B10" s="109">
        <v>618172169131</v>
      </c>
      <c r="C10" s="110">
        <v>615551915344</v>
      </c>
      <c r="D10" s="103"/>
      <c r="E10" s="103"/>
    </row>
    <row r="11" spans="1:5">
      <c r="A11" s="108" t="s">
        <v>289</v>
      </c>
      <c r="B11" s="109">
        <v>3295618545</v>
      </c>
      <c r="C11" s="110">
        <v>3376195077</v>
      </c>
      <c r="D11" s="103"/>
      <c r="E11" s="103"/>
    </row>
    <row r="12" spans="1:5">
      <c r="A12" s="108" t="s">
        <v>206</v>
      </c>
      <c r="B12" s="109">
        <v>6348424792</v>
      </c>
      <c r="C12" s="110">
        <v>5614267136</v>
      </c>
      <c r="D12" s="103"/>
      <c r="E12" s="103"/>
    </row>
    <row r="13" spans="1:5">
      <c r="A13" s="108" t="s">
        <v>350</v>
      </c>
      <c r="B13" s="109">
        <v>14588878738</v>
      </c>
      <c r="C13" s="110">
        <v>14162389496</v>
      </c>
      <c r="D13" s="103"/>
      <c r="E13" s="103"/>
    </row>
    <row r="14" spans="1:5">
      <c r="A14" s="108" t="s">
        <v>351</v>
      </c>
      <c r="B14" s="109">
        <v>4343733204</v>
      </c>
      <c r="C14" s="110">
        <v>1268799488</v>
      </c>
      <c r="D14" s="103"/>
      <c r="E14" s="103"/>
    </row>
    <row r="15" spans="1:5">
      <c r="A15" s="108" t="s">
        <v>209</v>
      </c>
      <c r="B15" s="109">
        <v>10549848251</v>
      </c>
      <c r="C15" s="110">
        <v>3160842368</v>
      </c>
      <c r="D15" s="103"/>
      <c r="E15" s="103"/>
    </row>
    <row r="16" spans="1:5">
      <c r="A16" s="108" t="s">
        <v>210</v>
      </c>
      <c r="B16" s="109">
        <v>65869231607</v>
      </c>
      <c r="C16" s="110">
        <v>53812962766</v>
      </c>
      <c r="D16" s="103"/>
      <c r="E16" s="103"/>
    </row>
    <row r="17" spans="1:5">
      <c r="A17" s="108" t="s">
        <v>211</v>
      </c>
      <c r="B17" s="109">
        <v>2228151743182</v>
      </c>
      <c r="C17" s="110">
        <v>2072377026522</v>
      </c>
      <c r="D17" s="103"/>
      <c r="E17" s="103"/>
    </row>
    <row r="18" spans="1:5">
      <c r="A18" s="108" t="s">
        <v>290</v>
      </c>
      <c r="B18" s="109">
        <v>10321895865</v>
      </c>
      <c r="C18" s="110">
        <v>10215389696</v>
      </c>
      <c r="D18" s="103"/>
      <c r="E18" s="103"/>
    </row>
    <row r="19" spans="1:5">
      <c r="A19" s="108" t="s">
        <v>289</v>
      </c>
      <c r="B19" s="109">
        <v>5326987152</v>
      </c>
      <c r="C19" s="110">
        <v>19267530948</v>
      </c>
      <c r="D19" s="103"/>
      <c r="E19" s="103"/>
    </row>
    <row r="20" spans="1:5">
      <c r="A20" s="108" t="s">
        <v>214</v>
      </c>
      <c r="B20" s="109">
        <v>419850176367</v>
      </c>
      <c r="C20" s="110">
        <v>405235647374</v>
      </c>
      <c r="D20" s="103"/>
      <c r="E20" s="103"/>
    </row>
    <row r="21" spans="1:5">
      <c r="A21" s="108" t="s">
        <v>215</v>
      </c>
      <c r="B21" s="109">
        <v>1557490524753</v>
      </c>
      <c r="C21" s="110">
        <v>1450746613697</v>
      </c>
      <c r="D21" s="103"/>
      <c r="E21" s="103"/>
    </row>
    <row r="22" spans="1:5">
      <c r="A22" s="108" t="s">
        <v>216</v>
      </c>
      <c r="B22" s="109">
        <v>137397936294</v>
      </c>
      <c r="C22" s="110">
        <v>100788492416</v>
      </c>
      <c r="D22" s="103"/>
      <c r="E22" s="103"/>
    </row>
    <row r="23" spans="1:5">
      <c r="A23" s="108" t="s">
        <v>352</v>
      </c>
      <c r="B23" s="109">
        <v>3557560000</v>
      </c>
      <c r="C23" s="110">
        <v>3557560000</v>
      </c>
      <c r="D23" s="103"/>
      <c r="E23" s="103"/>
    </row>
    <row r="24" spans="1:5">
      <c r="A24" s="108" t="s">
        <v>351</v>
      </c>
      <c r="B24" s="109">
        <v>984110401</v>
      </c>
      <c r="C24" s="110">
        <v>32171072</v>
      </c>
      <c r="D24" s="103"/>
      <c r="E24" s="103"/>
    </row>
    <row r="25" spans="1:5">
      <c r="A25" s="108" t="s">
        <v>219</v>
      </c>
      <c r="B25" s="109">
        <v>69535315982</v>
      </c>
      <c r="C25" s="110">
        <v>76390962631</v>
      </c>
      <c r="D25" s="103"/>
      <c r="E25" s="103"/>
    </row>
    <row r="26" spans="1:5">
      <c r="A26" s="108" t="s">
        <v>220</v>
      </c>
      <c r="B26" s="109">
        <v>23687236368</v>
      </c>
      <c r="C26" s="110">
        <v>6142658688</v>
      </c>
      <c r="D26" s="103"/>
      <c r="E26" s="103"/>
    </row>
    <row r="27" spans="1:5">
      <c r="A27" s="108" t="s">
        <v>221</v>
      </c>
      <c r="B27" s="109">
        <v>4314739290258</v>
      </c>
      <c r="C27" s="110">
        <v>3758441248800</v>
      </c>
      <c r="D27" s="103"/>
      <c r="E27" s="103"/>
    </row>
    <row r="28" spans="1:5">
      <c r="A28" s="108" t="s">
        <v>222</v>
      </c>
      <c r="B28" s="111"/>
      <c r="C28" s="112"/>
      <c r="D28" s="103"/>
      <c r="E28" s="103"/>
    </row>
    <row r="29" spans="1:5">
      <c r="A29" s="108" t="s">
        <v>223</v>
      </c>
      <c r="B29" s="109">
        <v>994194665371</v>
      </c>
      <c r="C29" s="110">
        <v>995459732771</v>
      </c>
      <c r="D29" s="103"/>
      <c r="E29" s="103"/>
    </row>
    <row r="30" spans="1:5">
      <c r="A30" s="108" t="s">
        <v>291</v>
      </c>
      <c r="B30" s="109">
        <v>525679842790</v>
      </c>
      <c r="C30" s="110">
        <v>407880923687</v>
      </c>
      <c r="D30" s="103"/>
      <c r="E30" s="103"/>
    </row>
    <row r="31" spans="1:5" s="366" customFormat="1">
      <c r="A31" s="381" t="s">
        <v>363</v>
      </c>
      <c r="B31" s="382">
        <v>302542647260</v>
      </c>
      <c r="C31" s="383">
        <v>355990470781</v>
      </c>
      <c r="D31" s="375"/>
      <c r="E31" s="375"/>
    </row>
    <row r="32" spans="1:5">
      <c r="A32" s="108" t="s">
        <v>293</v>
      </c>
      <c r="B32" s="109">
        <v>31589799728</v>
      </c>
      <c r="C32" s="110">
        <v>30749848690</v>
      </c>
      <c r="D32" s="103"/>
      <c r="E32" s="103"/>
    </row>
    <row r="33" spans="1:5">
      <c r="A33" s="108" t="s">
        <v>353</v>
      </c>
      <c r="B33" s="109">
        <v>1912791179</v>
      </c>
      <c r="C33" s="110">
        <v>8672731968</v>
      </c>
      <c r="D33" s="103"/>
      <c r="E33" s="103"/>
    </row>
    <row r="34" spans="1:5">
      <c r="A34" s="108" t="s">
        <v>228</v>
      </c>
      <c r="B34" s="109">
        <v>241567885</v>
      </c>
      <c r="C34" s="110">
        <v>655074455</v>
      </c>
      <c r="D34" s="103"/>
      <c r="E34" s="103"/>
    </row>
    <row r="35" spans="1:5">
      <c r="A35" s="108" t="s">
        <v>229</v>
      </c>
      <c r="B35" s="109">
        <v>35569109408</v>
      </c>
      <c r="C35" s="110">
        <v>34101638344</v>
      </c>
      <c r="D35" s="103"/>
      <c r="E35" s="103"/>
    </row>
    <row r="36" spans="1:5">
      <c r="A36" s="108" t="s">
        <v>354</v>
      </c>
      <c r="B36" s="109">
        <v>38048901843</v>
      </c>
      <c r="C36" s="110">
        <v>34854798229</v>
      </c>
      <c r="D36" s="103"/>
      <c r="E36" s="103"/>
    </row>
    <row r="37" spans="1:5">
      <c r="A37" s="108" t="s">
        <v>231</v>
      </c>
      <c r="B37" s="109">
        <v>58610005278</v>
      </c>
      <c r="C37" s="110">
        <v>122554246617</v>
      </c>
      <c r="D37" s="103"/>
      <c r="E37" s="103"/>
    </row>
    <row r="38" spans="1:5">
      <c r="A38" s="108" t="s">
        <v>232</v>
      </c>
      <c r="B38" s="109">
        <v>952208077434</v>
      </c>
      <c r="C38" s="110">
        <v>905653709044</v>
      </c>
      <c r="D38" s="103"/>
      <c r="E38" s="103"/>
    </row>
    <row r="39" spans="1:5">
      <c r="A39" s="108" t="s">
        <v>291</v>
      </c>
      <c r="B39" s="109">
        <v>13405719584</v>
      </c>
      <c r="C39" s="110">
        <v>12307419358</v>
      </c>
      <c r="D39" s="103"/>
      <c r="E39" s="103"/>
    </row>
    <row r="40" spans="1:5">
      <c r="A40" s="108" t="s">
        <v>292</v>
      </c>
      <c r="B40" s="109">
        <v>425937033633</v>
      </c>
      <c r="C40" s="110">
        <v>507116631655</v>
      </c>
      <c r="D40" s="103"/>
      <c r="E40" s="103"/>
    </row>
    <row r="41" spans="1:5">
      <c r="A41" s="237" t="s">
        <v>293</v>
      </c>
      <c r="B41" s="109">
        <v>102316800569</v>
      </c>
      <c r="C41" s="110">
        <v>108655819427</v>
      </c>
      <c r="D41" s="103"/>
      <c r="E41" s="103"/>
    </row>
    <row r="42" spans="1:5">
      <c r="A42" s="108" t="s">
        <v>355</v>
      </c>
      <c r="B42" s="109">
        <v>108836620</v>
      </c>
      <c r="C42" s="110">
        <v>1072132608</v>
      </c>
      <c r="D42" s="103"/>
      <c r="E42" s="103"/>
    </row>
    <row r="43" spans="1:5">
      <c r="A43" s="108" t="s">
        <v>238</v>
      </c>
      <c r="B43" s="109">
        <v>135988073253</v>
      </c>
      <c r="C43" s="110">
        <v>130684023874</v>
      </c>
      <c r="D43" s="103"/>
      <c r="E43" s="103"/>
    </row>
    <row r="44" spans="1:5">
      <c r="A44" s="108" t="s">
        <v>239</v>
      </c>
      <c r="B44" s="109">
        <v>257948930692</v>
      </c>
      <c r="C44" s="110">
        <v>131453490442</v>
      </c>
      <c r="D44" s="103"/>
      <c r="E44" s="103"/>
    </row>
    <row r="45" spans="1:5">
      <c r="A45" s="237" t="s">
        <v>240</v>
      </c>
      <c r="B45" s="109">
        <v>7958946047</v>
      </c>
      <c r="C45" s="110">
        <v>6779937280</v>
      </c>
      <c r="D45" s="103"/>
      <c r="E45" s="103"/>
    </row>
    <row r="46" spans="1:5">
      <c r="A46" s="108" t="s">
        <v>354</v>
      </c>
      <c r="B46" s="109">
        <v>8002297036</v>
      </c>
      <c r="C46" s="110">
        <v>7042814400</v>
      </c>
      <c r="D46" s="103"/>
      <c r="E46" s="103"/>
    </row>
    <row r="47" spans="1:5">
      <c r="A47" s="108" t="s">
        <v>256</v>
      </c>
      <c r="B47" s="109">
        <v>541440000</v>
      </c>
      <c r="C47" s="110">
        <v>541440000</v>
      </c>
      <c r="D47" s="103"/>
      <c r="E47" s="103"/>
    </row>
    <row r="48" spans="1:5">
      <c r="A48" s="108" t="s">
        <v>242</v>
      </c>
      <c r="B48" s="109">
        <v>1946402742805</v>
      </c>
      <c r="C48" s="110">
        <v>1901113441815</v>
      </c>
      <c r="D48" s="103"/>
      <c r="E48" s="103"/>
    </row>
    <row r="49" spans="1:5">
      <c r="A49" s="108" t="s">
        <v>243</v>
      </c>
      <c r="B49" s="111"/>
      <c r="C49" s="112"/>
      <c r="D49" s="103"/>
      <c r="E49" s="103"/>
    </row>
    <row r="50" spans="1:5">
      <c r="A50" s="108" t="s">
        <v>244</v>
      </c>
      <c r="B50" s="109">
        <v>1630545243586</v>
      </c>
      <c r="C50" s="110">
        <v>1292436125023</v>
      </c>
      <c r="D50" s="103"/>
      <c r="E50" s="103"/>
    </row>
    <row r="51" spans="1:5">
      <c r="A51" s="108" t="s">
        <v>245</v>
      </c>
      <c r="B51" s="109">
        <v>61115070000</v>
      </c>
      <c r="C51" s="110">
        <v>61115070000</v>
      </c>
      <c r="D51" s="103"/>
      <c r="E51" s="103"/>
    </row>
    <row r="52" spans="1:5">
      <c r="A52" s="108" t="s">
        <v>246</v>
      </c>
      <c r="B52" s="109">
        <v>117766679366</v>
      </c>
      <c r="C52" s="110">
        <v>117766679366</v>
      </c>
      <c r="D52" s="103"/>
      <c r="E52" s="103"/>
    </row>
    <row r="53" spans="1:5">
      <c r="A53" s="108" t="s">
        <v>356</v>
      </c>
      <c r="B53" s="109">
        <v>-16030278827</v>
      </c>
      <c r="C53" s="110">
        <v>-39528618669</v>
      </c>
      <c r="D53" s="103"/>
      <c r="E53" s="103"/>
    </row>
    <row r="54" spans="1:5">
      <c r="A54" s="108" t="s">
        <v>357</v>
      </c>
      <c r="B54" s="109">
        <v>68856622664</v>
      </c>
      <c r="C54" s="110">
        <v>-26258559358</v>
      </c>
      <c r="D54" s="103"/>
      <c r="E54" s="103"/>
    </row>
    <row r="55" spans="1:5">
      <c r="A55" s="108" t="s">
        <v>249</v>
      </c>
      <c r="B55" s="109">
        <v>1398837150383</v>
      </c>
      <c r="C55" s="110">
        <v>1179341553684</v>
      </c>
      <c r="D55" s="103"/>
      <c r="E55" s="103"/>
    </row>
    <row r="56" spans="1:5">
      <c r="A56" s="108" t="s">
        <v>157</v>
      </c>
      <c r="B56" s="109">
        <v>737791303867</v>
      </c>
      <c r="C56" s="110">
        <v>564891681962</v>
      </c>
      <c r="D56" s="103"/>
      <c r="E56" s="103"/>
    </row>
    <row r="57" spans="1:5">
      <c r="A57" s="108" t="s">
        <v>250</v>
      </c>
      <c r="B57" s="109">
        <v>2368336547453</v>
      </c>
      <c r="C57" s="110">
        <v>1857327806985</v>
      </c>
      <c r="D57" s="103"/>
      <c r="E57" s="103"/>
    </row>
    <row r="58" spans="1:5">
      <c r="A58" s="113" t="s">
        <v>251</v>
      </c>
      <c r="B58" s="114">
        <v>4314739290258</v>
      </c>
      <c r="C58" s="123">
        <v>3758441248800</v>
      </c>
      <c r="D58" s="103"/>
      <c r="E58" s="103"/>
    </row>
    <row r="59" spans="1:5">
      <c r="A59" s="133"/>
      <c r="B59" s="103"/>
      <c r="C59" s="103"/>
      <c r="D59" s="103"/>
      <c r="E59" s="103"/>
    </row>
    <row r="60" spans="1:5">
      <c r="A60" s="102" t="s">
        <v>122</v>
      </c>
      <c r="B60" s="103"/>
      <c r="C60" s="103"/>
      <c r="D60" s="103"/>
      <c r="E60" s="103"/>
    </row>
    <row r="61" spans="1:5">
      <c r="A61" s="104" t="s">
        <v>364</v>
      </c>
      <c r="B61" s="103"/>
      <c r="C61" s="103"/>
      <c r="D61" s="103"/>
      <c r="E61" s="103"/>
    </row>
    <row r="62" spans="1:5">
      <c r="A62" s="104" t="s">
        <v>279</v>
      </c>
      <c r="B62" s="103"/>
      <c r="C62" s="103"/>
      <c r="D62" s="103"/>
      <c r="E62" s="103"/>
    </row>
    <row r="63" spans="1:5">
      <c r="A63" s="105" t="s">
        <v>125</v>
      </c>
      <c r="B63" s="103"/>
      <c r="C63" s="103"/>
      <c r="D63" s="103"/>
      <c r="E63" s="103"/>
    </row>
    <row r="64" spans="1:5">
      <c r="A64" s="488"/>
      <c r="B64" s="490" t="s">
        <v>365</v>
      </c>
      <c r="C64" s="491"/>
      <c r="D64" s="490" t="s">
        <v>280</v>
      </c>
      <c r="E64" s="492"/>
    </row>
    <row r="65" spans="1:5">
      <c r="A65" s="489"/>
      <c r="B65" s="106" t="s">
        <v>128</v>
      </c>
      <c r="C65" s="106" t="s">
        <v>129</v>
      </c>
      <c r="D65" s="106" t="s">
        <v>128</v>
      </c>
      <c r="E65" s="107" t="s">
        <v>129</v>
      </c>
    </row>
    <row r="66" spans="1:5">
      <c r="A66" s="108" t="s">
        <v>360</v>
      </c>
      <c r="B66" s="109">
        <v>927065253315</v>
      </c>
      <c r="C66" s="109">
        <v>2934700215679</v>
      </c>
      <c r="D66" s="109">
        <v>917431270432</v>
      </c>
      <c r="E66" s="110">
        <v>2332343483196</v>
      </c>
    </row>
    <row r="67" spans="1:5">
      <c r="A67" s="108" t="s">
        <v>131</v>
      </c>
      <c r="B67" s="109">
        <v>473900365753</v>
      </c>
      <c r="C67" s="109">
        <v>1460567782790</v>
      </c>
      <c r="D67" s="109">
        <v>471107489968</v>
      </c>
      <c r="E67" s="110">
        <v>1177751154473</v>
      </c>
    </row>
    <row r="68" spans="1:5">
      <c r="A68" s="108" t="s">
        <v>132</v>
      </c>
      <c r="B68" s="109">
        <v>453164887562</v>
      </c>
      <c r="C68" s="109">
        <v>1474132432889</v>
      </c>
      <c r="D68" s="109">
        <v>446323780464</v>
      </c>
      <c r="E68" s="110">
        <v>1154592328723</v>
      </c>
    </row>
    <row r="69" spans="1:5">
      <c r="A69" s="108" t="s">
        <v>133</v>
      </c>
      <c r="B69" s="109">
        <v>342854161535</v>
      </c>
      <c r="C69" s="109">
        <v>1006467076498</v>
      </c>
      <c r="D69" s="109">
        <v>290741252704</v>
      </c>
      <c r="E69" s="110">
        <v>881586906693</v>
      </c>
    </row>
    <row r="70" spans="1:5">
      <c r="A70" s="108" t="s">
        <v>134</v>
      </c>
      <c r="B70" s="109">
        <v>110310726027</v>
      </c>
      <c r="C70" s="109">
        <v>467665356391</v>
      </c>
      <c r="D70" s="109">
        <v>155582527760</v>
      </c>
      <c r="E70" s="110">
        <v>273005422030</v>
      </c>
    </row>
    <row r="71" spans="1:5">
      <c r="A71" s="108" t="s">
        <v>135</v>
      </c>
      <c r="B71" s="109">
        <v>1513065821</v>
      </c>
      <c r="C71" s="109">
        <v>3777400175</v>
      </c>
      <c r="D71" s="109">
        <v>636955766</v>
      </c>
      <c r="E71" s="110">
        <v>2597068032</v>
      </c>
    </row>
    <row r="72" spans="1:5">
      <c r="A72" s="108" t="s">
        <v>136</v>
      </c>
      <c r="B72" s="109">
        <v>2378097596</v>
      </c>
      <c r="C72" s="109">
        <v>4439378070</v>
      </c>
      <c r="D72" s="109">
        <v>500560647</v>
      </c>
      <c r="E72" s="110">
        <v>4823646107</v>
      </c>
    </row>
    <row r="73" spans="1:5">
      <c r="A73" s="108" t="s">
        <v>138</v>
      </c>
      <c r="B73" s="109">
        <v>6888717383</v>
      </c>
      <c r="C73" s="109">
        <v>25525244501</v>
      </c>
      <c r="D73" s="109">
        <v>7685158709</v>
      </c>
      <c r="E73" s="110">
        <v>26218331880</v>
      </c>
    </row>
    <row r="74" spans="1:5">
      <c r="A74" s="108" t="s">
        <v>139</v>
      </c>
      <c r="B74" s="109">
        <v>13713055471</v>
      </c>
      <c r="C74" s="109">
        <v>49255705112</v>
      </c>
      <c r="D74" s="109">
        <v>12768228780</v>
      </c>
      <c r="E74" s="110">
        <v>54405492582</v>
      </c>
    </row>
    <row r="75" spans="1:5">
      <c r="A75" s="108" t="s">
        <v>140</v>
      </c>
      <c r="B75" s="109">
        <v>6866853366</v>
      </c>
      <c r="C75" s="109">
        <v>33550061675</v>
      </c>
      <c r="D75" s="109">
        <v>8629261239</v>
      </c>
      <c r="E75" s="110">
        <v>27363774328</v>
      </c>
    </row>
    <row r="76" spans="1:5">
      <c r="A76" s="108" t="s">
        <v>141</v>
      </c>
      <c r="B76" s="109">
        <v>109488209530</v>
      </c>
      <c r="C76" s="109">
        <v>476822979560</v>
      </c>
      <c r="D76" s="109">
        <v>159265114047</v>
      </c>
      <c r="E76" s="110">
        <v>269955457581</v>
      </c>
    </row>
    <row r="77" spans="1:5">
      <c r="A77" s="108" t="s">
        <v>142</v>
      </c>
      <c r="B77" s="109">
        <v>33563911161</v>
      </c>
      <c r="C77" s="109">
        <v>130948084378</v>
      </c>
      <c r="D77" s="109">
        <v>64150378633</v>
      </c>
      <c r="E77" s="110">
        <v>89820325184</v>
      </c>
    </row>
    <row r="78" spans="1:5">
      <c r="A78" s="108" t="s">
        <v>143</v>
      </c>
      <c r="B78" s="109">
        <v>75924298369</v>
      </c>
      <c r="C78" s="109">
        <v>345874895182</v>
      </c>
      <c r="D78" s="109">
        <v>95114735414</v>
      </c>
      <c r="E78" s="110">
        <v>180135132397</v>
      </c>
    </row>
    <row r="79" spans="1:5">
      <c r="A79" s="108" t="s">
        <v>144</v>
      </c>
      <c r="B79" s="111"/>
      <c r="C79" s="111"/>
      <c r="D79" s="111"/>
      <c r="E79" s="112"/>
    </row>
    <row r="80" spans="1:5">
      <c r="A80" s="108" t="s">
        <v>145</v>
      </c>
      <c r="B80" s="111"/>
      <c r="C80" s="111"/>
      <c r="D80" s="111"/>
      <c r="E80" s="112"/>
    </row>
    <row r="81" spans="1:5">
      <c r="A81" s="108" t="s">
        <v>146</v>
      </c>
      <c r="B81" s="109">
        <v>1265627016</v>
      </c>
      <c r="C81" s="109">
        <v>3050385177</v>
      </c>
      <c r="D81" s="109">
        <v>932326685</v>
      </c>
      <c r="E81" s="110">
        <v>3396409291</v>
      </c>
    </row>
    <row r="82" spans="1:5">
      <c r="A82" s="108" t="s">
        <v>147</v>
      </c>
      <c r="B82" s="111"/>
      <c r="C82" s="111"/>
      <c r="D82" s="111"/>
      <c r="E82" s="112"/>
    </row>
    <row r="83" spans="1:5">
      <c r="A83" s="108" t="s">
        <v>148</v>
      </c>
      <c r="B83" s="109">
        <v>-1132597276</v>
      </c>
      <c r="C83" s="109">
        <v>-117972300</v>
      </c>
      <c r="D83" s="109">
        <v>2999310584</v>
      </c>
      <c r="E83" s="110">
        <v>1922202774</v>
      </c>
    </row>
    <row r="84" spans="1:5">
      <c r="A84" s="108" t="s">
        <v>149</v>
      </c>
      <c r="B84" s="109">
        <v>78201206477</v>
      </c>
      <c r="C84" s="109">
        <v>144754777659</v>
      </c>
      <c r="D84" s="109">
        <v>-21140829039</v>
      </c>
      <c r="E84" s="110">
        <v>38375103978</v>
      </c>
    </row>
    <row r="85" spans="1:5">
      <c r="A85" s="108" t="s">
        <v>150</v>
      </c>
      <c r="B85" s="109">
        <v>1484029473</v>
      </c>
      <c r="C85" s="109">
        <v>7660871672</v>
      </c>
      <c r="D85" s="109">
        <v>-2967825776</v>
      </c>
      <c r="E85" s="110">
        <v>-2318407877</v>
      </c>
    </row>
    <row r="86" spans="1:5">
      <c r="A86" s="108" t="s">
        <v>151</v>
      </c>
      <c r="B86" s="109">
        <v>79818265690</v>
      </c>
      <c r="C86" s="109">
        <v>155348062208</v>
      </c>
      <c r="D86" s="109">
        <v>-20177017546</v>
      </c>
      <c r="E86" s="110">
        <v>41375308166</v>
      </c>
    </row>
    <row r="87" spans="1:5">
      <c r="A87" s="108" t="s">
        <v>152</v>
      </c>
      <c r="B87" s="109">
        <v>155742564059</v>
      </c>
      <c r="C87" s="109">
        <v>501222957390</v>
      </c>
      <c r="D87" s="109">
        <v>74937717868</v>
      </c>
      <c r="E87" s="110">
        <v>221510440563</v>
      </c>
    </row>
    <row r="88" spans="1:5">
      <c r="A88" s="108" t="s">
        <v>153</v>
      </c>
      <c r="B88" s="111"/>
      <c r="C88" s="111"/>
      <c r="D88" s="111"/>
      <c r="E88" s="112"/>
    </row>
    <row r="89" spans="1:5">
      <c r="A89" s="108" t="s">
        <v>154</v>
      </c>
      <c r="B89" s="109">
        <v>53851087932</v>
      </c>
      <c r="C89" s="109">
        <v>229284509056</v>
      </c>
      <c r="D89" s="109">
        <v>59602374432</v>
      </c>
      <c r="E89" s="110">
        <v>133133662419</v>
      </c>
    </row>
    <row r="90" spans="1:5">
      <c r="A90" s="108" t="s">
        <v>155</v>
      </c>
      <c r="B90" s="109">
        <v>22073210437</v>
      </c>
      <c r="C90" s="109">
        <v>116590386126</v>
      </c>
      <c r="D90" s="109">
        <v>35512360982</v>
      </c>
      <c r="E90" s="110">
        <v>47001469978</v>
      </c>
    </row>
    <row r="91" spans="1:5">
      <c r="A91" s="108" t="s">
        <v>156</v>
      </c>
      <c r="B91" s="111"/>
      <c r="C91" s="111"/>
      <c r="D91" s="111"/>
      <c r="E91" s="112"/>
    </row>
    <row r="92" spans="1:5">
      <c r="A92" s="108" t="s">
        <v>154</v>
      </c>
      <c r="B92" s="109">
        <v>104709413208</v>
      </c>
      <c r="C92" s="109">
        <v>325276367695</v>
      </c>
      <c r="D92" s="109">
        <v>52242818676</v>
      </c>
      <c r="E92" s="110">
        <v>164463609019</v>
      </c>
    </row>
    <row r="93" spans="1:5">
      <c r="A93" s="108" t="s">
        <v>157</v>
      </c>
      <c r="B93" s="109">
        <v>51033150851</v>
      </c>
      <c r="C93" s="109">
        <v>175946589695</v>
      </c>
      <c r="D93" s="109">
        <v>22694899192</v>
      </c>
      <c r="E93" s="110">
        <v>57046831544</v>
      </c>
    </row>
    <row r="94" spans="1:5">
      <c r="A94" s="108" t="s">
        <v>158</v>
      </c>
      <c r="B94" s="111"/>
      <c r="C94" s="111"/>
      <c r="D94" s="111"/>
      <c r="E94" s="112"/>
    </row>
    <row r="95" spans="1:5">
      <c r="A95" s="108" t="s">
        <v>159</v>
      </c>
      <c r="B95" s="111">
        <v>896</v>
      </c>
      <c r="C95" s="109">
        <v>3815</v>
      </c>
      <c r="D95" s="111">
        <v>991</v>
      </c>
      <c r="E95" s="110">
        <v>2214</v>
      </c>
    </row>
    <row r="96" spans="1:5">
      <c r="A96" s="113" t="s">
        <v>160</v>
      </c>
      <c r="B96" s="115">
        <v>896</v>
      </c>
      <c r="C96" s="114">
        <v>3815</v>
      </c>
      <c r="D96" s="115">
        <v>991</v>
      </c>
      <c r="E96" s="123">
        <v>2214</v>
      </c>
    </row>
    <row r="99" spans="1:3">
      <c r="A99" s="399" t="s">
        <v>607</v>
      </c>
    </row>
    <row r="101" spans="1:3" ht="28.5">
      <c r="A101" s="384" t="s">
        <v>608</v>
      </c>
    </row>
    <row r="102" spans="1:3">
      <c r="A102" s="94" t="s">
        <v>558</v>
      </c>
    </row>
    <row r="103" spans="1:3">
      <c r="A103" s="124" t="s">
        <v>367</v>
      </c>
      <c r="B103" s="400" t="s">
        <v>609</v>
      </c>
      <c r="C103" s="401" t="s">
        <v>610</v>
      </c>
    </row>
    <row r="104" spans="1:3">
      <c r="A104" s="390" t="s">
        <v>561</v>
      </c>
      <c r="B104" s="386">
        <v>476822980</v>
      </c>
      <c r="C104" s="391">
        <v>269955457</v>
      </c>
    </row>
    <row r="105" spans="1:3">
      <c r="A105" s="390" t="s">
        <v>562</v>
      </c>
      <c r="B105" s="387"/>
      <c r="C105" s="392"/>
    </row>
    <row r="106" spans="1:3">
      <c r="A106" s="390" t="s">
        <v>563</v>
      </c>
      <c r="B106" s="386">
        <v>18452390</v>
      </c>
      <c r="C106" s="391">
        <v>29260661</v>
      </c>
    </row>
    <row r="107" spans="1:3">
      <c r="A107" s="390" t="s">
        <v>564</v>
      </c>
      <c r="B107" s="386">
        <v>10555258</v>
      </c>
      <c r="C107" s="391">
        <v>6113418</v>
      </c>
    </row>
    <row r="108" spans="1:3">
      <c r="A108" s="390" t="s">
        <v>565</v>
      </c>
      <c r="B108" s="386">
        <v>22675629</v>
      </c>
      <c r="C108" s="391">
        <v>12066790</v>
      </c>
    </row>
    <row r="109" spans="1:3">
      <c r="A109" s="390" t="s">
        <v>566</v>
      </c>
      <c r="B109" s="386">
        <v>12929052</v>
      </c>
      <c r="C109" s="391">
        <v>17697845</v>
      </c>
    </row>
    <row r="110" spans="1:3" s="366" customFormat="1">
      <c r="A110" s="396" t="s">
        <v>567</v>
      </c>
      <c r="B110" s="397">
        <v>52706128</v>
      </c>
      <c r="C110" s="398">
        <v>55292530</v>
      </c>
    </row>
    <row r="111" spans="1:3">
      <c r="A111" s="390" t="s">
        <v>568</v>
      </c>
      <c r="B111" s="386">
        <v>21867633</v>
      </c>
      <c r="C111" s="391">
        <v>20387883</v>
      </c>
    </row>
    <row r="112" spans="1:3">
      <c r="A112" s="390" t="s">
        <v>569</v>
      </c>
      <c r="B112" s="386">
        <v>8771</v>
      </c>
      <c r="C112" s="391">
        <v>928136</v>
      </c>
    </row>
    <row r="113" spans="1:3">
      <c r="A113" s="390" t="s">
        <v>570</v>
      </c>
      <c r="B113" s="387" t="s">
        <v>573</v>
      </c>
      <c r="C113" s="391">
        <v>8441</v>
      </c>
    </row>
    <row r="114" spans="1:3">
      <c r="A114" s="390" t="s">
        <v>576</v>
      </c>
      <c r="B114" s="386">
        <v>926665</v>
      </c>
      <c r="C114" s="391">
        <v>9618765</v>
      </c>
    </row>
    <row r="115" spans="1:3">
      <c r="A115" s="390" t="s">
        <v>611</v>
      </c>
      <c r="B115" s="386">
        <v>-630482</v>
      </c>
      <c r="C115" s="391">
        <v>-488509</v>
      </c>
    </row>
    <row r="116" spans="1:3">
      <c r="A116" s="390" t="s">
        <v>612</v>
      </c>
      <c r="B116" s="386">
        <v>1433469</v>
      </c>
      <c r="C116" s="391">
        <v>-307876</v>
      </c>
    </row>
    <row r="117" spans="1:3">
      <c r="A117" s="390" t="s">
        <v>580</v>
      </c>
      <c r="B117" s="386">
        <v>-33550062</v>
      </c>
      <c r="C117" s="391">
        <v>-27363774</v>
      </c>
    </row>
    <row r="118" spans="1:3">
      <c r="A118" s="390" t="s">
        <v>581</v>
      </c>
      <c r="B118" s="386">
        <v>395477</v>
      </c>
      <c r="C118" s="392" t="s">
        <v>573</v>
      </c>
    </row>
    <row r="119" spans="1:3">
      <c r="A119" s="390" t="s">
        <v>582</v>
      </c>
      <c r="B119" s="386">
        <v>-1454700</v>
      </c>
      <c r="C119" s="391">
        <v>-1552727</v>
      </c>
    </row>
    <row r="120" spans="1:3">
      <c r="A120" s="390" t="s">
        <v>583</v>
      </c>
      <c r="B120" s="386">
        <v>-37375</v>
      </c>
      <c r="C120" s="391">
        <v>-29261</v>
      </c>
    </row>
    <row r="121" spans="1:3">
      <c r="A121" s="390" t="s">
        <v>584</v>
      </c>
      <c r="B121" s="386">
        <v>-11042773</v>
      </c>
      <c r="C121" s="391">
        <v>-9093879</v>
      </c>
    </row>
    <row r="122" spans="1:3">
      <c r="A122" s="390" t="s">
        <v>585</v>
      </c>
      <c r="B122" s="386">
        <v>-108863262</v>
      </c>
      <c r="C122" s="391">
        <v>-93574213</v>
      </c>
    </row>
    <row r="123" spans="1:3">
      <c r="A123" s="390" t="s">
        <v>586</v>
      </c>
      <c r="B123" s="386">
        <v>1425856</v>
      </c>
      <c r="C123" s="391">
        <v>2728004</v>
      </c>
    </row>
    <row r="124" spans="1:3">
      <c r="A124" s="390" t="s">
        <v>587</v>
      </c>
      <c r="B124" s="386">
        <v>-1589487</v>
      </c>
      <c r="C124" s="391">
        <v>-2402171</v>
      </c>
    </row>
    <row r="125" spans="1:3">
      <c r="A125" s="390" t="s">
        <v>588</v>
      </c>
      <c r="B125" s="386">
        <v>-11771443</v>
      </c>
      <c r="C125" s="391">
        <v>-2379282</v>
      </c>
    </row>
    <row r="126" spans="1:3">
      <c r="A126" s="393" t="s">
        <v>589</v>
      </c>
      <c r="B126" s="386">
        <v>1266395</v>
      </c>
      <c r="C126" s="391">
        <v>6954873</v>
      </c>
    </row>
    <row r="127" spans="1:3">
      <c r="A127" s="393" t="s">
        <v>590</v>
      </c>
      <c r="B127" s="386">
        <v>23566461</v>
      </c>
      <c r="C127" s="391">
        <v>132792110</v>
      </c>
    </row>
    <row r="128" spans="1:3">
      <c r="A128" s="393" t="s">
        <v>591</v>
      </c>
      <c r="B128" s="386">
        <v>5261602</v>
      </c>
      <c r="C128" s="391">
        <v>-1435775</v>
      </c>
    </row>
    <row r="129" spans="1:3">
      <c r="A129" s="393" t="s">
        <v>592</v>
      </c>
      <c r="B129" s="386">
        <v>28138614</v>
      </c>
      <c r="C129" s="391">
        <v>-136952</v>
      </c>
    </row>
    <row r="130" spans="1:3">
      <c r="A130" s="393" t="s">
        <v>593</v>
      </c>
      <c r="B130" s="386">
        <v>1175836</v>
      </c>
      <c r="C130" s="391">
        <v>-5093423</v>
      </c>
    </row>
    <row r="131" spans="1:3">
      <c r="A131" s="393" t="s">
        <v>594</v>
      </c>
      <c r="B131" s="386">
        <v>68259184</v>
      </c>
      <c r="C131" s="391">
        <v>8153637</v>
      </c>
    </row>
    <row r="132" spans="1:3">
      <c r="A132" s="393" t="s">
        <v>595</v>
      </c>
      <c r="B132" s="386">
        <v>-4983716</v>
      </c>
      <c r="C132" s="391">
        <v>-624001</v>
      </c>
    </row>
    <row r="133" spans="1:3">
      <c r="A133" s="393" t="s">
        <v>596</v>
      </c>
      <c r="B133" s="386">
        <v>5754397</v>
      </c>
      <c r="C133" s="391">
        <v>2835746</v>
      </c>
    </row>
    <row r="134" spans="1:3">
      <c r="A134" s="393" t="s">
        <v>597</v>
      </c>
      <c r="B134" s="386">
        <v>306964</v>
      </c>
      <c r="C134" s="391">
        <v>156637</v>
      </c>
    </row>
    <row r="135" spans="1:3">
      <c r="A135" s="393" t="s">
        <v>598</v>
      </c>
      <c r="B135" s="386">
        <v>1538620</v>
      </c>
      <c r="C135" s="391">
        <v>4399020</v>
      </c>
    </row>
    <row r="136" spans="1:3">
      <c r="A136" s="393" t="s">
        <v>599</v>
      </c>
      <c r="B136" s="386">
        <v>-225844</v>
      </c>
      <c r="C136" s="391">
        <v>-911316</v>
      </c>
    </row>
    <row r="137" spans="1:3">
      <c r="A137" s="393" t="s">
        <v>600</v>
      </c>
      <c r="B137" s="386">
        <v>616204</v>
      </c>
      <c r="C137" s="391">
        <v>-321173</v>
      </c>
    </row>
    <row r="138" spans="1:3">
      <c r="A138" s="393" t="s">
        <v>613</v>
      </c>
      <c r="B138" s="386">
        <v>1408062</v>
      </c>
      <c r="C138" s="391">
        <v>-447225</v>
      </c>
    </row>
    <row r="139" spans="1:3">
      <c r="A139" s="393" t="s">
        <v>601</v>
      </c>
      <c r="B139" s="386">
        <v>-5773851</v>
      </c>
      <c r="C139" s="391">
        <v>-361545</v>
      </c>
    </row>
    <row r="140" spans="1:3">
      <c r="A140" s="97" t="s">
        <v>602</v>
      </c>
      <c r="B140" s="386">
        <v>-19867115</v>
      </c>
      <c r="C140" s="391">
        <v>-20748532</v>
      </c>
    </row>
    <row r="141" spans="1:3">
      <c r="A141" s="97" t="s">
        <v>603</v>
      </c>
      <c r="B141" s="386">
        <v>-6841138</v>
      </c>
      <c r="C141" s="391">
        <v>-1433103</v>
      </c>
    </row>
    <row r="142" spans="1:3">
      <c r="A142" s="97" t="s">
        <v>605</v>
      </c>
      <c r="B142" s="386">
        <v>-12556334</v>
      </c>
      <c r="C142" s="391">
        <v>7195506</v>
      </c>
    </row>
    <row r="143" spans="1:3">
      <c r="A143" s="100" t="s">
        <v>606</v>
      </c>
      <c r="B143" s="394">
        <v>538304065</v>
      </c>
      <c r="C143" s="395">
        <v>417840722</v>
      </c>
    </row>
  </sheetData>
  <mergeCells count="3">
    <mergeCell ref="A64:A65"/>
    <mergeCell ref="B64:C64"/>
    <mergeCell ref="D64:E64"/>
  </mergeCells>
  <phoneticPr fontId="3"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09"/>
  <sheetViews>
    <sheetView topLeftCell="A178" zoomScale="85" zoomScaleNormal="85" workbookViewId="0">
      <selection activeCell="B204" sqref="B204"/>
    </sheetView>
  </sheetViews>
  <sheetFormatPr defaultRowHeight="16.5"/>
  <cols>
    <col min="1" max="1" width="43.125" customWidth="1"/>
    <col min="2" max="4" width="17.75" bestFit="1" customWidth="1"/>
  </cols>
  <sheetData>
    <row r="1" spans="1:4">
      <c r="A1" s="92" t="s">
        <v>195</v>
      </c>
    </row>
    <row r="2" spans="1:4">
      <c r="A2" s="93" t="s">
        <v>480</v>
      </c>
    </row>
    <row r="3" spans="1:4">
      <c r="A3" s="93" t="s">
        <v>481</v>
      </c>
    </row>
    <row r="4" spans="1:4">
      <c r="A4" s="93" t="s">
        <v>482</v>
      </c>
    </row>
    <row r="5" spans="1:4">
      <c r="A5" s="94" t="s">
        <v>125</v>
      </c>
    </row>
    <row r="6" spans="1:4">
      <c r="A6" s="124"/>
      <c r="B6" s="125" t="s">
        <v>483</v>
      </c>
      <c r="C6" s="125" t="s">
        <v>282</v>
      </c>
      <c r="D6" s="126" t="s">
        <v>184</v>
      </c>
    </row>
    <row r="7" spans="1:4">
      <c r="A7" s="97" t="s">
        <v>200</v>
      </c>
      <c r="B7" s="96"/>
      <c r="C7" s="96"/>
      <c r="D7" s="99"/>
    </row>
    <row r="8" spans="1:4">
      <c r="A8" s="97" t="s">
        <v>201</v>
      </c>
      <c r="B8" s="95">
        <v>2041130391810</v>
      </c>
      <c r="C8" s="95">
        <v>1686064222278</v>
      </c>
      <c r="D8" s="98">
        <v>1586809823252</v>
      </c>
    </row>
    <row r="9" spans="1:4">
      <c r="A9" s="363" t="s">
        <v>202</v>
      </c>
      <c r="B9" s="364">
        <v>699203590783</v>
      </c>
      <c r="C9" s="364">
        <v>470647552525</v>
      </c>
      <c r="D9" s="365">
        <v>232032424388</v>
      </c>
    </row>
    <row r="10" spans="1:4">
      <c r="A10" s="97" t="s">
        <v>290</v>
      </c>
      <c r="B10" s="95">
        <v>471299961375</v>
      </c>
      <c r="C10" s="95">
        <v>518469298078</v>
      </c>
      <c r="D10" s="98">
        <v>521046723030</v>
      </c>
    </row>
    <row r="11" spans="1:4">
      <c r="A11" s="97" t="s">
        <v>204</v>
      </c>
      <c r="B11" s="95">
        <v>757797014936</v>
      </c>
      <c r="C11" s="95">
        <v>615551915344</v>
      </c>
      <c r="D11" s="98">
        <v>735481062571</v>
      </c>
    </row>
    <row r="12" spans="1:4">
      <c r="A12" s="97" t="s">
        <v>289</v>
      </c>
      <c r="B12" s="95">
        <v>2856203608</v>
      </c>
      <c r="C12" s="95">
        <v>3376195077</v>
      </c>
      <c r="D12" s="98">
        <v>7133991707</v>
      </c>
    </row>
    <row r="13" spans="1:4">
      <c r="A13" s="97" t="s">
        <v>206</v>
      </c>
      <c r="B13" s="95">
        <v>6661066104</v>
      </c>
      <c r="C13" s="95">
        <v>5614267136</v>
      </c>
      <c r="D13" s="98">
        <v>7027759165</v>
      </c>
    </row>
    <row r="14" spans="1:4">
      <c r="A14" s="97" t="s">
        <v>350</v>
      </c>
      <c r="B14" s="95">
        <v>9438025435</v>
      </c>
      <c r="C14" s="95">
        <v>14162389496</v>
      </c>
      <c r="D14" s="98">
        <v>13090454980</v>
      </c>
    </row>
    <row r="15" spans="1:4">
      <c r="A15" s="97" t="s">
        <v>351</v>
      </c>
      <c r="B15" s="95">
        <v>7492318875</v>
      </c>
      <c r="C15" s="95">
        <v>1268799488</v>
      </c>
      <c r="D15" s="98">
        <v>5266761574</v>
      </c>
    </row>
    <row r="16" spans="1:4">
      <c r="A16" s="97" t="s">
        <v>209</v>
      </c>
      <c r="B16" s="95">
        <v>9830343357</v>
      </c>
      <c r="C16" s="95">
        <v>3160842368</v>
      </c>
      <c r="D16" s="98">
        <v>692483335</v>
      </c>
    </row>
    <row r="17" spans="1:4">
      <c r="A17" s="97" t="s">
        <v>210</v>
      </c>
      <c r="B17" s="95">
        <v>76551867337</v>
      </c>
      <c r="C17" s="95">
        <v>53812962766</v>
      </c>
      <c r="D17" s="98">
        <v>65038162502</v>
      </c>
    </row>
    <row r="18" spans="1:4">
      <c r="A18" s="97" t="s">
        <v>211</v>
      </c>
      <c r="B18" s="95">
        <v>2247726423604</v>
      </c>
      <c r="C18" s="95">
        <v>2072377026522</v>
      </c>
      <c r="D18" s="98">
        <v>2183439305209</v>
      </c>
    </row>
    <row r="19" spans="1:4">
      <c r="A19" s="97" t="s">
        <v>484</v>
      </c>
      <c r="B19" s="95">
        <v>17301711873</v>
      </c>
      <c r="C19" s="95">
        <v>10215389696</v>
      </c>
      <c r="D19" s="98">
        <v>21152138991</v>
      </c>
    </row>
    <row r="20" spans="1:4">
      <c r="A20" s="97" t="s">
        <v>485</v>
      </c>
      <c r="B20" s="95">
        <v>329028011</v>
      </c>
      <c r="C20" s="95">
        <v>19267530948</v>
      </c>
      <c r="D20" s="98">
        <v>23581763662</v>
      </c>
    </row>
    <row r="21" spans="1:4">
      <c r="A21" s="97" t="s">
        <v>214</v>
      </c>
      <c r="B21" s="95">
        <v>418218322008</v>
      </c>
      <c r="C21" s="95">
        <v>405235647374</v>
      </c>
      <c r="D21" s="98">
        <v>439052048066</v>
      </c>
    </row>
    <row r="22" spans="1:4">
      <c r="A22" s="97" t="s">
        <v>215</v>
      </c>
      <c r="B22" s="95">
        <v>1552788149077</v>
      </c>
      <c r="C22" s="95">
        <v>1450746613697</v>
      </c>
      <c r="D22" s="98">
        <v>1547923372827</v>
      </c>
    </row>
    <row r="23" spans="1:4">
      <c r="A23" s="97" t="s">
        <v>216</v>
      </c>
      <c r="B23" s="95">
        <v>155037097758</v>
      </c>
      <c r="C23" s="95">
        <v>100788492416</v>
      </c>
      <c r="D23" s="98">
        <v>66210958086</v>
      </c>
    </row>
    <row r="24" spans="1:4">
      <c r="A24" s="97" t="s">
        <v>352</v>
      </c>
      <c r="B24" s="95">
        <v>7021500000</v>
      </c>
      <c r="C24" s="95">
        <v>3557560000</v>
      </c>
      <c r="D24" s="98">
        <v>3437900000</v>
      </c>
    </row>
    <row r="25" spans="1:4">
      <c r="A25" s="97" t="s">
        <v>351</v>
      </c>
      <c r="B25" s="95">
        <v>1767776285</v>
      </c>
      <c r="C25" s="95">
        <v>32171072</v>
      </c>
      <c r="D25" s="98">
        <v>1284246811</v>
      </c>
    </row>
    <row r="26" spans="1:4">
      <c r="A26" s="97" t="s">
        <v>219</v>
      </c>
      <c r="B26" s="95">
        <v>72137123470</v>
      </c>
      <c r="C26" s="95">
        <v>76390962631</v>
      </c>
      <c r="D26" s="98">
        <v>74558115739</v>
      </c>
    </row>
    <row r="27" spans="1:4">
      <c r="A27" s="97" t="s">
        <v>220</v>
      </c>
      <c r="B27" s="95">
        <v>23125715122</v>
      </c>
      <c r="C27" s="95">
        <v>6142658688</v>
      </c>
      <c r="D27" s="98">
        <v>6238761027</v>
      </c>
    </row>
    <row r="28" spans="1:4">
      <c r="A28" s="97" t="s">
        <v>221</v>
      </c>
      <c r="B28" s="95">
        <v>4288856815414</v>
      </c>
      <c r="C28" s="95">
        <v>3758441248800</v>
      </c>
      <c r="D28" s="98">
        <v>3770249128461</v>
      </c>
    </row>
    <row r="29" spans="1:4">
      <c r="A29" s="97" t="s">
        <v>222</v>
      </c>
      <c r="B29" s="96"/>
      <c r="C29" s="96"/>
      <c r="D29" s="99"/>
    </row>
    <row r="30" spans="1:4">
      <c r="A30" s="97" t="s">
        <v>223</v>
      </c>
      <c r="B30" s="95">
        <v>1051388684026</v>
      </c>
      <c r="C30" s="95">
        <v>995459732771</v>
      </c>
      <c r="D30" s="98">
        <v>867356008900</v>
      </c>
    </row>
    <row r="31" spans="1:4">
      <c r="A31" s="97" t="s">
        <v>291</v>
      </c>
      <c r="B31" s="95">
        <v>536945250754</v>
      </c>
      <c r="C31" s="95">
        <v>407880923687</v>
      </c>
      <c r="D31" s="98">
        <v>413004383530</v>
      </c>
    </row>
    <row r="32" spans="1:4">
      <c r="A32" s="97" t="s">
        <v>363</v>
      </c>
      <c r="B32" s="95">
        <v>285865529108</v>
      </c>
      <c r="C32" s="95">
        <v>355990470781</v>
      </c>
      <c r="D32" s="98">
        <v>299962648428</v>
      </c>
    </row>
    <row r="33" spans="1:4">
      <c r="A33" s="97" t="s">
        <v>293</v>
      </c>
      <c r="B33" s="95">
        <v>31189783156</v>
      </c>
      <c r="C33" s="95">
        <v>30749848690</v>
      </c>
      <c r="D33" s="98">
        <v>28841201387</v>
      </c>
    </row>
    <row r="34" spans="1:4">
      <c r="A34" s="97" t="s">
        <v>353</v>
      </c>
      <c r="B34" s="95">
        <v>578903941</v>
      </c>
      <c r="C34" s="95">
        <v>8672731968</v>
      </c>
      <c r="D34" s="98">
        <v>5120776887</v>
      </c>
    </row>
    <row r="35" spans="1:4">
      <c r="A35" s="97" t="s">
        <v>228</v>
      </c>
      <c r="B35" s="95">
        <v>9275280360</v>
      </c>
      <c r="C35" s="95">
        <v>655074455</v>
      </c>
      <c r="D35" s="98">
        <v>6574668133</v>
      </c>
    </row>
    <row r="36" spans="1:4">
      <c r="A36" s="97" t="s">
        <v>229</v>
      </c>
      <c r="B36" s="95">
        <v>35534253257</v>
      </c>
      <c r="C36" s="95">
        <v>34101638344</v>
      </c>
      <c r="D36" s="98">
        <v>21742332869</v>
      </c>
    </row>
    <row r="37" spans="1:4">
      <c r="A37" s="97" t="s">
        <v>230</v>
      </c>
      <c r="B37" s="95">
        <v>65387619780</v>
      </c>
      <c r="C37" s="95">
        <v>34854798229</v>
      </c>
      <c r="D37" s="98">
        <v>32400303811</v>
      </c>
    </row>
    <row r="38" spans="1:4">
      <c r="A38" s="97" t="s">
        <v>231</v>
      </c>
      <c r="B38" s="95">
        <v>86612063670</v>
      </c>
      <c r="C38" s="95">
        <v>122554246617</v>
      </c>
      <c r="D38" s="98">
        <v>59709693855</v>
      </c>
    </row>
    <row r="39" spans="1:4">
      <c r="A39" s="97" t="s">
        <v>232</v>
      </c>
      <c r="B39" s="95">
        <v>930978895062</v>
      </c>
      <c r="C39" s="95">
        <v>905653709044</v>
      </c>
      <c r="D39" s="98">
        <v>1101949501736</v>
      </c>
    </row>
    <row r="40" spans="1:4">
      <c r="A40" s="97" t="s">
        <v>486</v>
      </c>
      <c r="B40" s="95">
        <v>13030976340</v>
      </c>
      <c r="C40" s="95">
        <v>12307419358</v>
      </c>
      <c r="D40" s="98">
        <v>13655988563</v>
      </c>
    </row>
    <row r="41" spans="1:4" s="366" customFormat="1">
      <c r="A41" s="363" t="s">
        <v>487</v>
      </c>
      <c r="B41" s="364">
        <v>421067869136</v>
      </c>
      <c r="C41" s="364">
        <v>507116631655</v>
      </c>
      <c r="D41" s="365">
        <v>611690244829</v>
      </c>
    </row>
    <row r="42" spans="1:4" s="366" customFormat="1">
      <c r="A42" s="363" t="s">
        <v>293</v>
      </c>
      <c r="B42" s="364">
        <v>84710565048</v>
      </c>
      <c r="C42" s="364">
        <v>108655819427</v>
      </c>
      <c r="D42" s="365">
        <v>117220949035</v>
      </c>
    </row>
    <row r="43" spans="1:4">
      <c r="A43" s="97" t="s">
        <v>355</v>
      </c>
      <c r="B43" s="96"/>
      <c r="C43" s="95">
        <v>1072132608</v>
      </c>
      <c r="D43" s="98">
        <v>1046122086</v>
      </c>
    </row>
    <row r="44" spans="1:4" s="366" customFormat="1">
      <c r="A44" s="363" t="s">
        <v>238</v>
      </c>
      <c r="B44" s="364">
        <v>126060817564</v>
      </c>
      <c r="C44" s="364">
        <v>130684023874</v>
      </c>
      <c r="D44" s="365">
        <v>147455572322</v>
      </c>
    </row>
    <row r="45" spans="1:4" s="366" customFormat="1">
      <c r="A45" s="363" t="s">
        <v>239</v>
      </c>
      <c r="B45" s="364">
        <v>268303092865</v>
      </c>
      <c r="C45" s="364">
        <v>131453490442</v>
      </c>
      <c r="D45" s="365">
        <v>187117025264</v>
      </c>
    </row>
    <row r="46" spans="1:4">
      <c r="A46" s="97" t="s">
        <v>240</v>
      </c>
      <c r="B46" s="95">
        <v>5895114492</v>
      </c>
      <c r="C46" s="95">
        <v>7321377280</v>
      </c>
      <c r="D46" s="98">
        <v>13130962390</v>
      </c>
    </row>
    <row r="47" spans="1:4">
      <c r="A47" s="97" t="s">
        <v>354</v>
      </c>
      <c r="B47" s="95">
        <v>6712181099</v>
      </c>
      <c r="C47" s="95">
        <v>7042814400</v>
      </c>
      <c r="D47" s="98">
        <v>10632637247</v>
      </c>
    </row>
    <row r="48" spans="1:4">
      <c r="A48" s="97" t="s">
        <v>488</v>
      </c>
      <c r="B48" s="95">
        <v>5198278518</v>
      </c>
      <c r="C48" s="96"/>
      <c r="D48" s="99"/>
    </row>
    <row r="49" spans="1:4">
      <c r="A49" s="97" t="s">
        <v>242</v>
      </c>
      <c r="B49" s="95">
        <v>1982367579088</v>
      </c>
      <c r="C49" s="95">
        <v>1901113441815</v>
      </c>
      <c r="D49" s="98">
        <v>1969305510636</v>
      </c>
    </row>
    <row r="50" spans="1:4">
      <c r="A50" s="97" t="s">
        <v>243</v>
      </c>
      <c r="B50" s="96"/>
      <c r="C50" s="96"/>
      <c r="D50" s="99"/>
    </row>
    <row r="51" spans="1:4">
      <c r="A51" s="97" t="s">
        <v>244</v>
      </c>
      <c r="B51" s="95">
        <v>1610945351915</v>
      </c>
      <c r="C51" s="95">
        <v>1292436125023</v>
      </c>
      <c r="D51" s="98">
        <v>1249653574381</v>
      </c>
    </row>
    <row r="52" spans="1:4">
      <c r="A52" s="97" t="s">
        <v>489</v>
      </c>
      <c r="B52" s="95">
        <v>61115070000</v>
      </c>
      <c r="C52" s="95">
        <v>61115070000</v>
      </c>
      <c r="D52" s="98">
        <v>61115070000</v>
      </c>
    </row>
    <row r="53" spans="1:4">
      <c r="A53" s="97" t="s">
        <v>490</v>
      </c>
      <c r="B53" s="95">
        <v>108088401752</v>
      </c>
      <c r="C53" s="95">
        <v>107157109019</v>
      </c>
      <c r="D53" s="98">
        <v>108826726445</v>
      </c>
    </row>
    <row r="54" spans="1:4">
      <c r="A54" s="97" t="s">
        <v>491</v>
      </c>
      <c r="B54" s="95">
        <v>-29410811836</v>
      </c>
      <c r="C54" s="95">
        <v>-28919048322</v>
      </c>
      <c r="D54" s="98">
        <v>-25356340102</v>
      </c>
    </row>
    <row r="55" spans="1:4">
      <c r="A55" s="97" t="s">
        <v>492</v>
      </c>
      <c r="B55" s="95">
        <v>65158275664</v>
      </c>
      <c r="C55" s="95">
        <v>-26258559358</v>
      </c>
      <c r="D55" s="98">
        <v>25053811764</v>
      </c>
    </row>
    <row r="56" spans="1:4">
      <c r="A56" s="97" t="s">
        <v>249</v>
      </c>
      <c r="B56" s="95">
        <v>1405994416335</v>
      </c>
      <c r="C56" s="95">
        <v>1179341553684</v>
      </c>
      <c r="D56" s="98">
        <v>1080014306274</v>
      </c>
    </row>
    <row r="57" spans="1:4">
      <c r="A57" s="97" t="s">
        <v>157</v>
      </c>
      <c r="B57" s="95">
        <v>695543884411</v>
      </c>
      <c r="C57" s="95">
        <v>564891681962</v>
      </c>
      <c r="D57" s="98">
        <v>551290043444</v>
      </c>
    </row>
    <row r="58" spans="1:4">
      <c r="A58" s="97" t="s">
        <v>250</v>
      </c>
      <c r="B58" s="95">
        <v>2306489236326</v>
      </c>
      <c r="C58" s="95">
        <v>1857327806985</v>
      </c>
      <c r="D58" s="98">
        <v>1800943617825</v>
      </c>
    </row>
    <row r="59" spans="1:4">
      <c r="A59" s="100" t="s">
        <v>251</v>
      </c>
      <c r="B59" s="101">
        <v>4288856815414</v>
      </c>
      <c r="C59" s="101">
        <v>3758441248800</v>
      </c>
      <c r="D59" s="122">
        <v>3770249128461</v>
      </c>
    </row>
    <row r="60" spans="1:4">
      <c r="A60" s="362"/>
    </row>
    <row r="61" spans="1:4">
      <c r="A61" s="92" t="s">
        <v>122</v>
      </c>
    </row>
    <row r="62" spans="1:4">
      <c r="A62" s="93" t="s">
        <v>493</v>
      </c>
    </row>
    <row r="63" spans="1:4">
      <c r="A63" s="93" t="s">
        <v>283</v>
      </c>
    </row>
    <row r="64" spans="1:4">
      <c r="A64" s="93" t="s">
        <v>181</v>
      </c>
    </row>
    <row r="65" spans="1:4">
      <c r="A65" s="94" t="s">
        <v>125</v>
      </c>
    </row>
    <row r="66" spans="1:4">
      <c r="A66" s="124"/>
      <c r="B66" s="125" t="s">
        <v>483</v>
      </c>
      <c r="C66" s="125" t="s">
        <v>282</v>
      </c>
      <c r="D66" s="126" t="s">
        <v>184</v>
      </c>
    </row>
    <row r="67" spans="1:4">
      <c r="A67" s="97" t="s">
        <v>360</v>
      </c>
      <c r="B67" s="95">
        <v>3793958639955</v>
      </c>
      <c r="C67" s="95">
        <v>3128805852797</v>
      </c>
      <c r="D67" s="98">
        <v>3450421529936</v>
      </c>
    </row>
    <row r="68" spans="1:4">
      <c r="A68" s="97" t="s">
        <v>131</v>
      </c>
      <c r="B68" s="95">
        <v>1913708628704</v>
      </c>
      <c r="C68" s="95">
        <v>1584164454400</v>
      </c>
      <c r="D68" s="98">
        <v>1720714487680</v>
      </c>
    </row>
    <row r="69" spans="1:4">
      <c r="A69" s="97" t="s">
        <v>132</v>
      </c>
      <c r="B69" s="95">
        <v>1880250011251</v>
      </c>
      <c r="C69" s="95">
        <v>1544641398397</v>
      </c>
      <c r="D69" s="98">
        <v>1729707042256</v>
      </c>
    </row>
    <row r="70" spans="1:4">
      <c r="A70" s="97" t="s">
        <v>133</v>
      </c>
      <c r="B70" s="95">
        <v>1387398857082</v>
      </c>
      <c r="C70" s="95">
        <v>1203563514116</v>
      </c>
      <c r="D70" s="98">
        <v>1259030549610</v>
      </c>
    </row>
    <row r="71" spans="1:4">
      <c r="A71" s="97" t="s">
        <v>134</v>
      </c>
      <c r="B71" s="95">
        <v>492851154169</v>
      </c>
      <c r="C71" s="95">
        <v>341077884281</v>
      </c>
      <c r="D71" s="98">
        <v>470676492646</v>
      </c>
    </row>
    <row r="72" spans="1:4">
      <c r="A72" s="97" t="s">
        <v>135</v>
      </c>
      <c r="B72" s="95">
        <v>6443585817</v>
      </c>
      <c r="C72" s="95">
        <v>8220398778</v>
      </c>
      <c r="D72" s="98">
        <v>33715807124</v>
      </c>
    </row>
    <row r="73" spans="1:4">
      <c r="A73" s="97" t="s">
        <v>136</v>
      </c>
      <c r="B73" s="95">
        <v>6156542969</v>
      </c>
      <c r="C73" s="95">
        <v>22246207938</v>
      </c>
      <c r="D73" s="98">
        <v>10799613846</v>
      </c>
    </row>
    <row r="74" spans="1:4">
      <c r="A74" s="97" t="s">
        <v>138</v>
      </c>
      <c r="B74" s="95">
        <v>25319348174</v>
      </c>
      <c r="C74" s="95">
        <v>38600605960</v>
      </c>
      <c r="D74" s="98">
        <v>24312061030</v>
      </c>
    </row>
    <row r="75" spans="1:4">
      <c r="A75" s="97" t="s">
        <v>139</v>
      </c>
      <c r="B75" s="95">
        <v>54216920708</v>
      </c>
      <c r="C75" s="95">
        <v>68349474469</v>
      </c>
      <c r="D75" s="98">
        <v>81271283587</v>
      </c>
    </row>
    <row r="76" spans="1:4">
      <c r="A76" s="97" t="s">
        <v>140</v>
      </c>
      <c r="B76" s="95">
        <v>48559846950</v>
      </c>
      <c r="C76" s="95">
        <v>42601175038</v>
      </c>
      <c r="D76" s="98">
        <v>34621568628</v>
      </c>
    </row>
    <row r="77" spans="1:4">
      <c r="A77" s="97" t="s">
        <v>141</v>
      </c>
      <c r="B77" s="95">
        <v>512800471433</v>
      </c>
      <c r="C77" s="95">
        <v>339904381650</v>
      </c>
      <c r="D77" s="98">
        <v>471255031995</v>
      </c>
    </row>
    <row r="78" spans="1:4">
      <c r="A78" s="97" t="s">
        <v>169</v>
      </c>
      <c r="B78" s="95">
        <v>174991141719</v>
      </c>
      <c r="C78" s="95">
        <v>142165662552</v>
      </c>
      <c r="D78" s="98">
        <v>133111233147</v>
      </c>
    </row>
    <row r="79" spans="1:4">
      <c r="A79" s="97" t="s">
        <v>163</v>
      </c>
      <c r="B79" s="95">
        <v>337809329714</v>
      </c>
      <c r="C79" s="95">
        <v>197738719098</v>
      </c>
      <c r="D79" s="98">
        <v>338143798848</v>
      </c>
    </row>
    <row r="80" spans="1:4">
      <c r="A80" s="97" t="s">
        <v>144</v>
      </c>
      <c r="B80" s="96"/>
      <c r="C80" s="96"/>
      <c r="D80" s="99"/>
    </row>
    <row r="81" spans="1:4" ht="27">
      <c r="A81" s="97" t="s">
        <v>145</v>
      </c>
      <c r="B81" s="96"/>
      <c r="C81" s="96"/>
      <c r="D81" s="99"/>
    </row>
    <row r="82" spans="1:4" ht="27">
      <c r="A82" s="97" t="s">
        <v>146</v>
      </c>
      <c r="B82" s="95">
        <v>6659934594</v>
      </c>
      <c r="C82" s="95">
        <v>-11540992690</v>
      </c>
      <c r="D82" s="98">
        <v>-16631658037</v>
      </c>
    </row>
    <row r="83" spans="1:4" ht="27">
      <c r="A83" s="97" t="s">
        <v>494</v>
      </c>
      <c r="B83" s="95">
        <v>2625666520</v>
      </c>
      <c r="C83" s="95">
        <v>90702280</v>
      </c>
      <c r="D83" s="98">
        <v>1310172880</v>
      </c>
    </row>
    <row r="84" spans="1:4" ht="27">
      <c r="A84" s="97" t="s">
        <v>147</v>
      </c>
      <c r="B84" s="96"/>
      <c r="C84" s="96"/>
      <c r="D84" s="99"/>
    </row>
    <row r="85" spans="1:4" ht="27">
      <c r="A85" s="97" t="s">
        <v>148</v>
      </c>
      <c r="B85" s="95">
        <v>2399351233</v>
      </c>
      <c r="C85" s="95">
        <v>6345334060</v>
      </c>
      <c r="D85" s="98">
        <v>-1350388721</v>
      </c>
    </row>
    <row r="86" spans="1:4">
      <c r="A86" s="97" t="s">
        <v>149</v>
      </c>
      <c r="B86" s="95">
        <v>130990965578</v>
      </c>
      <c r="C86" s="95">
        <v>-71789805520</v>
      </c>
      <c r="D86" s="98">
        <v>39792517579</v>
      </c>
    </row>
    <row r="87" spans="1:4">
      <c r="A87" s="97" t="s">
        <v>150</v>
      </c>
      <c r="B87" s="95">
        <v>12109661761</v>
      </c>
      <c r="C87" s="95">
        <v>-6292637739</v>
      </c>
      <c r="D87" s="98">
        <v>-5391625863</v>
      </c>
    </row>
    <row r="88" spans="1:4">
      <c r="A88" s="97" t="s">
        <v>188</v>
      </c>
      <c r="B88" s="95">
        <v>154785579686</v>
      </c>
      <c r="C88" s="95">
        <v>-83187399609</v>
      </c>
      <c r="D88" s="98">
        <v>17729017838</v>
      </c>
    </row>
    <row r="89" spans="1:4">
      <c r="A89" s="97" t="s">
        <v>495</v>
      </c>
      <c r="B89" s="95">
        <v>492594909400</v>
      </c>
      <c r="C89" s="95">
        <v>114551319489</v>
      </c>
      <c r="D89" s="98">
        <v>355872816686</v>
      </c>
    </row>
    <row r="90" spans="1:4">
      <c r="A90" s="97" t="s">
        <v>189</v>
      </c>
      <c r="B90" s="96"/>
      <c r="C90" s="96"/>
      <c r="D90" s="99"/>
    </row>
    <row r="91" spans="1:4">
      <c r="A91" s="97" t="s">
        <v>154</v>
      </c>
      <c r="B91" s="95">
        <v>235231954419</v>
      </c>
      <c r="C91" s="95">
        <v>139029603129</v>
      </c>
      <c r="D91" s="98">
        <v>266778723988</v>
      </c>
    </row>
    <row r="92" spans="1:4">
      <c r="A92" s="97" t="s">
        <v>155</v>
      </c>
      <c r="B92" s="95">
        <v>102577375295</v>
      </c>
      <c r="C92" s="95">
        <v>58709115969</v>
      </c>
      <c r="D92" s="98">
        <v>71365074860</v>
      </c>
    </row>
    <row r="93" spans="1:4">
      <c r="A93" s="97" t="s">
        <v>190</v>
      </c>
      <c r="B93" s="96"/>
      <c r="C93" s="96"/>
      <c r="D93" s="99"/>
    </row>
    <row r="94" spans="1:4">
      <c r="A94" s="97" t="s">
        <v>154</v>
      </c>
      <c r="B94" s="95">
        <v>329187427888</v>
      </c>
      <c r="C94" s="95">
        <v>81481209150</v>
      </c>
      <c r="D94" s="98">
        <v>287118314398</v>
      </c>
    </row>
    <row r="95" spans="1:4">
      <c r="A95" s="97" t="s">
        <v>157</v>
      </c>
      <c r="B95" s="95">
        <v>163407481512</v>
      </c>
      <c r="C95" s="95">
        <v>33070110339</v>
      </c>
      <c r="D95" s="98">
        <v>68754502288</v>
      </c>
    </row>
    <row r="96" spans="1:4">
      <c r="A96" s="97" t="s">
        <v>158</v>
      </c>
      <c r="B96" s="96"/>
      <c r="C96" s="96"/>
      <c r="D96" s="99"/>
    </row>
    <row r="97" spans="1:4">
      <c r="A97" s="97" t="s">
        <v>159</v>
      </c>
      <c r="B97" s="95">
        <v>3914</v>
      </c>
      <c r="C97" s="95">
        <v>2306</v>
      </c>
      <c r="D97" s="98">
        <v>4382</v>
      </c>
    </row>
    <row r="98" spans="1:4">
      <c r="A98" s="100" t="s">
        <v>160</v>
      </c>
      <c r="B98" s="101">
        <v>3914</v>
      </c>
      <c r="C98" s="101">
        <v>2306</v>
      </c>
      <c r="D98" s="122">
        <v>4382</v>
      </c>
    </row>
    <row r="100" spans="1:4">
      <c r="A100" s="92" t="s">
        <v>520</v>
      </c>
    </row>
    <row r="101" spans="1:4">
      <c r="A101" s="93" t="s">
        <v>493</v>
      </c>
    </row>
    <row r="102" spans="1:4">
      <c r="A102" s="93" t="s">
        <v>283</v>
      </c>
    </row>
    <row r="103" spans="1:4">
      <c r="A103" s="93" t="s">
        <v>181</v>
      </c>
    </row>
    <row r="104" spans="1:4">
      <c r="A104" s="94" t="s">
        <v>125</v>
      </c>
    </row>
    <row r="105" spans="1:4">
      <c r="A105" s="124"/>
      <c r="B105" s="125" t="s">
        <v>483</v>
      </c>
      <c r="C105" s="125" t="s">
        <v>282</v>
      </c>
      <c r="D105" s="126" t="s">
        <v>184</v>
      </c>
    </row>
    <row r="106" spans="1:4">
      <c r="A106" s="97" t="s">
        <v>521</v>
      </c>
      <c r="B106" s="95">
        <v>524557784342</v>
      </c>
      <c r="C106" s="95">
        <v>445004105903</v>
      </c>
      <c r="D106" s="98">
        <v>319138143799</v>
      </c>
    </row>
    <row r="107" spans="1:4">
      <c r="A107" s="97" t="s">
        <v>522</v>
      </c>
      <c r="B107" s="95">
        <v>641874868311</v>
      </c>
      <c r="C107" s="95">
        <v>584138082440</v>
      </c>
      <c r="D107" s="98">
        <v>426977174459</v>
      </c>
    </row>
    <row r="108" spans="1:4">
      <c r="A108" s="97" t="s">
        <v>523</v>
      </c>
      <c r="B108" s="95">
        <v>-105495126072</v>
      </c>
      <c r="C108" s="95">
        <v>-112020913613</v>
      </c>
      <c r="D108" s="98">
        <v>-74925031068</v>
      </c>
    </row>
    <row r="109" spans="1:4">
      <c r="A109" s="97" t="s">
        <v>524</v>
      </c>
      <c r="B109" s="95">
        <v>-21397043420</v>
      </c>
      <c r="C109" s="95">
        <v>-35851909458</v>
      </c>
      <c r="D109" s="98">
        <v>-46681149195</v>
      </c>
    </row>
    <row r="110" spans="1:4">
      <c r="A110" s="97" t="s">
        <v>525</v>
      </c>
      <c r="B110" s="95">
        <v>1597930054</v>
      </c>
      <c r="C110" s="95">
        <v>1229513395</v>
      </c>
      <c r="D110" s="98">
        <v>1412700183</v>
      </c>
    </row>
    <row r="111" spans="1:4">
      <c r="A111" s="97" t="s">
        <v>526</v>
      </c>
      <c r="B111" s="95">
        <v>7977155469</v>
      </c>
      <c r="C111" s="95">
        <v>7509333139</v>
      </c>
      <c r="D111" s="98">
        <v>12354449420</v>
      </c>
    </row>
    <row r="112" spans="1:4">
      <c r="A112" s="97" t="s">
        <v>527</v>
      </c>
      <c r="B112" s="95">
        <v>-39590774783</v>
      </c>
      <c r="C112" s="95">
        <v>-55171203714</v>
      </c>
      <c r="D112" s="98">
        <v>-35868048115</v>
      </c>
    </row>
    <row r="113" spans="1:4">
      <c r="A113" s="97" t="s">
        <v>528</v>
      </c>
      <c r="B113" s="95">
        <v>-50164962875</v>
      </c>
      <c r="C113" s="95">
        <v>-39291565178</v>
      </c>
      <c r="D113" s="98">
        <v>-46717335853</v>
      </c>
    </row>
    <row r="114" spans="1:4">
      <c r="A114" s="97" t="s">
        <v>529</v>
      </c>
      <c r="B114" s="95">
        <v>562365961</v>
      </c>
      <c r="C114" s="95">
        <v>832085608</v>
      </c>
      <c r="D114" s="98">
        <v>43844311648</v>
      </c>
    </row>
    <row r="115" spans="1:4">
      <c r="A115" s="97" t="s">
        <v>530</v>
      </c>
      <c r="B115" s="95">
        <v>-6470459416</v>
      </c>
      <c r="C115" s="95">
        <v>-10025185339</v>
      </c>
      <c r="D115" s="98">
        <v>-11766983553</v>
      </c>
    </row>
    <row r="116" spans="1:4">
      <c r="A116" s="97" t="s">
        <v>531</v>
      </c>
      <c r="B116" s="96"/>
      <c r="C116" s="95">
        <v>110132166</v>
      </c>
      <c r="D116" s="98">
        <v>2149459</v>
      </c>
    </row>
    <row r="117" spans="1:4">
      <c r="A117" s="97" t="s">
        <v>532</v>
      </c>
      <c r="B117" s="96"/>
      <c r="C117" s="96"/>
      <c r="D117" s="98">
        <v>10457251806</v>
      </c>
    </row>
    <row r="118" spans="1:4">
      <c r="A118" s="97" t="s">
        <v>533</v>
      </c>
      <c r="B118" s="95">
        <v>-16674193</v>
      </c>
      <c r="C118" s="95">
        <v>-69119725598</v>
      </c>
      <c r="D118" s="98">
        <v>-20064190177</v>
      </c>
    </row>
    <row r="119" spans="1:4">
      <c r="A119" s="97" t="s">
        <v>534</v>
      </c>
      <c r="B119" s="95">
        <v>17514663676</v>
      </c>
      <c r="C119" s="95">
        <v>61063554667</v>
      </c>
      <c r="D119" s="98">
        <v>22863052592</v>
      </c>
    </row>
    <row r="120" spans="1:4">
      <c r="A120" s="97" t="s">
        <v>535</v>
      </c>
      <c r="B120" s="95">
        <v>-2625473987</v>
      </c>
      <c r="C120" s="95">
        <v>-637343640</v>
      </c>
      <c r="D120" s="98">
        <v>-2827264372</v>
      </c>
    </row>
    <row r="121" spans="1:4">
      <c r="A121" s="97" t="s">
        <v>536</v>
      </c>
      <c r="B121" s="95">
        <v>682500000</v>
      </c>
      <c r="C121" s="95">
        <v>1414627020</v>
      </c>
      <c r="D121" s="98">
        <v>239378773</v>
      </c>
    </row>
    <row r="122" spans="1:4">
      <c r="A122" s="97" t="s">
        <v>537</v>
      </c>
      <c r="B122" s="96"/>
      <c r="C122" s="96"/>
      <c r="D122" s="98">
        <v>-32759414160</v>
      </c>
    </row>
    <row r="123" spans="1:4">
      <c r="A123" s="97" t="s">
        <v>538</v>
      </c>
      <c r="B123" s="96"/>
      <c r="C123" s="95">
        <v>-100000000</v>
      </c>
      <c r="D123" s="98">
        <v>-500000000</v>
      </c>
    </row>
    <row r="124" spans="1:4">
      <c r="A124" s="97" t="s">
        <v>539</v>
      </c>
      <c r="B124" s="95">
        <v>418048696</v>
      </c>
      <c r="C124" s="96"/>
      <c r="D124" s="98">
        <v>500000000</v>
      </c>
    </row>
    <row r="125" spans="1:4">
      <c r="A125" s="97" t="s">
        <v>540</v>
      </c>
      <c r="B125" s="95">
        <v>522185689</v>
      </c>
      <c r="C125" s="95">
        <v>582216580</v>
      </c>
      <c r="D125" s="98">
        <v>968968722</v>
      </c>
    </row>
    <row r="126" spans="1:4">
      <c r="A126" s="97" t="s">
        <v>541</v>
      </c>
      <c r="B126" s="95">
        <v>-12968334</v>
      </c>
      <c r="C126" s="96"/>
      <c r="D126" s="98">
        <v>-107973000</v>
      </c>
    </row>
    <row r="127" spans="1:4">
      <c r="A127" s="97" t="s">
        <v>542</v>
      </c>
      <c r="B127" s="95">
        <v>-297171221326</v>
      </c>
      <c r="C127" s="95">
        <v>-134509388822</v>
      </c>
      <c r="D127" s="98">
        <v>-190187732271</v>
      </c>
    </row>
    <row r="128" spans="1:4">
      <c r="A128" s="97" t="s">
        <v>543</v>
      </c>
      <c r="B128" s="95">
        <v>-11117730215</v>
      </c>
      <c r="C128" s="95">
        <v>-13320470235</v>
      </c>
      <c r="D128" s="98">
        <v>-3055753500</v>
      </c>
    </row>
    <row r="129" spans="1:4">
      <c r="A129" s="97" t="s">
        <v>544</v>
      </c>
      <c r="B129" s="95">
        <v>-30825730610</v>
      </c>
      <c r="C129" s="95">
        <v>-32900083475</v>
      </c>
      <c r="D129" s="98">
        <v>-28362892226</v>
      </c>
    </row>
    <row r="130" spans="1:4">
      <c r="A130" s="97" t="s">
        <v>545</v>
      </c>
      <c r="B130" s="95">
        <v>-554520985155</v>
      </c>
      <c r="C130" s="95">
        <v>-921459690639</v>
      </c>
      <c r="D130" s="98">
        <v>-604708240648</v>
      </c>
    </row>
    <row r="131" spans="1:4">
      <c r="A131" s="97" t="s">
        <v>546</v>
      </c>
      <c r="B131" s="95">
        <v>288187774601</v>
      </c>
      <c r="C131" s="95">
        <v>963828316273</v>
      </c>
      <c r="D131" s="98">
        <v>509897682777</v>
      </c>
    </row>
    <row r="132" spans="1:4">
      <c r="A132" s="97" t="s">
        <v>547</v>
      </c>
      <c r="B132" s="95">
        <v>70000000000</v>
      </c>
      <c r="C132" s="96"/>
      <c r="D132" s="99"/>
    </row>
    <row r="133" spans="1:4">
      <c r="A133" s="97" t="s">
        <v>548</v>
      </c>
      <c r="B133" s="95">
        <v>-175000000</v>
      </c>
      <c r="C133" s="96"/>
      <c r="D133" s="99"/>
    </row>
    <row r="134" spans="1:4">
      <c r="A134" s="97" t="s">
        <v>549</v>
      </c>
      <c r="B134" s="96"/>
      <c r="C134" s="95">
        <v>-63679000000</v>
      </c>
      <c r="D134" s="99"/>
    </row>
    <row r="135" spans="1:4">
      <c r="A135" s="97" t="s">
        <v>550</v>
      </c>
      <c r="B135" s="95">
        <v>-32229126881</v>
      </c>
      <c r="C135" s="95">
        <v>-35255713193</v>
      </c>
      <c r="D135" s="98">
        <v>-31459848984</v>
      </c>
    </row>
    <row r="136" spans="1:4">
      <c r="A136" s="97" t="s">
        <v>551</v>
      </c>
      <c r="B136" s="96"/>
      <c r="C136" s="95">
        <v>-23490842800</v>
      </c>
      <c r="D136" s="98">
        <v>-16442020624</v>
      </c>
    </row>
    <row r="137" spans="1:4">
      <c r="A137" s="97" t="s">
        <v>552</v>
      </c>
      <c r="B137" s="95">
        <v>-26490423066</v>
      </c>
      <c r="C137" s="95">
        <v>-8231904753</v>
      </c>
      <c r="D137" s="98">
        <v>-16056659066</v>
      </c>
    </row>
    <row r="138" spans="1:4">
      <c r="A138" s="97" t="s">
        <v>553</v>
      </c>
      <c r="B138" s="95">
        <v>187795788233</v>
      </c>
      <c r="C138" s="95">
        <v>255323513367</v>
      </c>
      <c r="D138" s="98">
        <v>93082363413</v>
      </c>
    </row>
    <row r="139" spans="1:4">
      <c r="A139" s="97" t="s">
        <v>554</v>
      </c>
      <c r="B139" s="95">
        <v>470647552525</v>
      </c>
      <c r="C139" s="95">
        <v>232032424388</v>
      </c>
      <c r="D139" s="98">
        <v>149001324731</v>
      </c>
    </row>
    <row r="140" spans="1:4">
      <c r="A140" s="97" t="s">
        <v>555</v>
      </c>
      <c r="B140" s="95">
        <v>40760250025</v>
      </c>
      <c r="C140" s="95">
        <v>-16708385230</v>
      </c>
      <c r="D140" s="98">
        <v>-10051263756</v>
      </c>
    </row>
    <row r="141" spans="1:4">
      <c r="A141" s="100" t="s">
        <v>556</v>
      </c>
      <c r="B141" s="101">
        <v>699203590783</v>
      </c>
      <c r="C141" s="101">
        <v>470647552525</v>
      </c>
      <c r="D141" s="122">
        <v>232032424388</v>
      </c>
    </row>
    <row r="143" spans="1:4" ht="28.5">
      <c r="A143" s="384" t="s">
        <v>557</v>
      </c>
    </row>
    <row r="144" spans="1:4">
      <c r="A144" s="493" t="s">
        <v>558</v>
      </c>
      <c r="B144" s="494"/>
      <c r="C144" s="495"/>
    </row>
    <row r="145" spans="1:3">
      <c r="A145" s="388" t="s">
        <v>367</v>
      </c>
      <c r="B145" s="385" t="s">
        <v>559</v>
      </c>
      <c r="C145" s="389" t="s">
        <v>560</v>
      </c>
    </row>
    <row r="146" spans="1:3">
      <c r="A146" s="390" t="s">
        <v>561</v>
      </c>
      <c r="B146" s="386">
        <v>512800471</v>
      </c>
      <c r="C146" s="391">
        <v>339904381</v>
      </c>
    </row>
    <row r="147" spans="1:3">
      <c r="A147" s="390" t="s">
        <v>562</v>
      </c>
      <c r="B147" s="387"/>
      <c r="C147" s="392"/>
    </row>
    <row r="148" spans="1:3">
      <c r="A148" s="390" t="s">
        <v>563</v>
      </c>
      <c r="B148" s="386">
        <v>22999675</v>
      </c>
      <c r="C148" s="391">
        <v>36373987</v>
      </c>
    </row>
    <row r="149" spans="1:3">
      <c r="A149" s="390" t="s">
        <v>564</v>
      </c>
      <c r="B149" s="386">
        <v>10666375</v>
      </c>
      <c r="C149" s="391">
        <v>8787687</v>
      </c>
    </row>
    <row r="150" spans="1:3">
      <c r="A150" s="390" t="s">
        <v>565</v>
      </c>
      <c r="B150" s="386">
        <v>31454358</v>
      </c>
      <c r="C150" s="391">
        <v>18934061</v>
      </c>
    </row>
    <row r="151" spans="1:3">
      <c r="A151" s="390" t="s">
        <v>566</v>
      </c>
      <c r="B151" s="386">
        <v>18129809</v>
      </c>
      <c r="C151" s="391">
        <v>20142169</v>
      </c>
    </row>
    <row r="152" spans="1:3" s="366" customFormat="1">
      <c r="A152" s="396" t="s">
        <v>567</v>
      </c>
      <c r="B152" s="397">
        <v>72229893</v>
      </c>
      <c r="C152" s="398">
        <v>72985914</v>
      </c>
    </row>
    <row r="153" spans="1:3">
      <c r="A153" s="390" t="s">
        <v>568</v>
      </c>
      <c r="B153" s="386">
        <v>26994857</v>
      </c>
      <c r="C153" s="391">
        <v>27480572</v>
      </c>
    </row>
    <row r="154" spans="1:3">
      <c r="A154" s="390" t="s">
        <v>569</v>
      </c>
      <c r="B154" s="386">
        <v>-234847</v>
      </c>
      <c r="C154" s="391">
        <v>996959</v>
      </c>
    </row>
    <row r="155" spans="1:3">
      <c r="A155" s="390" t="s">
        <v>570</v>
      </c>
      <c r="B155" s="386">
        <v>-9038</v>
      </c>
      <c r="C155" s="392" t="s">
        <v>571</v>
      </c>
    </row>
    <row r="156" spans="1:3">
      <c r="A156" s="390" t="s">
        <v>572</v>
      </c>
      <c r="B156" s="387" t="s">
        <v>573</v>
      </c>
      <c r="C156" s="392" t="s">
        <v>574</v>
      </c>
    </row>
    <row r="157" spans="1:3">
      <c r="A157" s="390" t="s">
        <v>575</v>
      </c>
      <c r="B157" s="386">
        <v>116494</v>
      </c>
      <c r="C157" s="391">
        <v>62659</v>
      </c>
    </row>
    <row r="158" spans="1:3">
      <c r="A158" s="390" t="s">
        <v>576</v>
      </c>
      <c r="B158" s="386">
        <v>124197</v>
      </c>
      <c r="C158" s="391">
        <v>10967544</v>
      </c>
    </row>
    <row r="159" spans="1:3">
      <c r="A159" s="390" t="s">
        <v>577</v>
      </c>
      <c r="B159" s="386">
        <v>1619944</v>
      </c>
      <c r="C159" s="392" t="s">
        <v>578</v>
      </c>
    </row>
    <row r="160" spans="1:3">
      <c r="A160" s="390" t="s">
        <v>579</v>
      </c>
      <c r="B160" s="386">
        <v>1955661</v>
      </c>
      <c r="C160" s="391">
        <v>-664675</v>
      </c>
    </row>
    <row r="161" spans="1:3">
      <c r="A161" s="390" t="s">
        <v>580</v>
      </c>
      <c r="B161" s="386">
        <v>-48559847</v>
      </c>
      <c r="C161" s="391">
        <v>-42601175</v>
      </c>
    </row>
    <row r="162" spans="1:3">
      <c r="A162" s="390" t="s">
        <v>581</v>
      </c>
      <c r="B162" s="386">
        <v>395477</v>
      </c>
      <c r="C162" s="392" t="s">
        <v>573</v>
      </c>
    </row>
    <row r="163" spans="1:3">
      <c r="A163" s="390" t="s">
        <v>582</v>
      </c>
      <c r="B163" s="386">
        <v>-2272978</v>
      </c>
      <c r="C163" s="391">
        <v>-1940404</v>
      </c>
    </row>
    <row r="164" spans="1:3">
      <c r="A164" s="390" t="s">
        <v>583</v>
      </c>
      <c r="B164" s="386">
        <v>-53443</v>
      </c>
      <c r="C164" s="391">
        <v>-56153</v>
      </c>
    </row>
    <row r="165" spans="1:3">
      <c r="A165" s="390" t="s">
        <v>584</v>
      </c>
      <c r="B165" s="386">
        <v>-9936281</v>
      </c>
      <c r="C165" s="391">
        <v>-18676509</v>
      </c>
    </row>
    <row r="166" spans="1:3">
      <c r="A166" s="390" t="s">
        <v>585</v>
      </c>
      <c r="B166" s="386">
        <v>52855270</v>
      </c>
      <c r="C166" s="391">
        <v>-12654941</v>
      </c>
    </row>
    <row r="167" spans="1:3">
      <c r="A167" s="390" t="s">
        <v>586</v>
      </c>
      <c r="B167" s="386">
        <v>-225684</v>
      </c>
      <c r="C167" s="391">
        <v>10872586</v>
      </c>
    </row>
    <row r="168" spans="1:3">
      <c r="A168" s="390" t="s">
        <v>587</v>
      </c>
      <c r="B168" s="386">
        <v>-1049574</v>
      </c>
      <c r="C168" s="391">
        <v>576318</v>
      </c>
    </row>
    <row r="169" spans="1:3">
      <c r="A169" s="393" t="s">
        <v>588</v>
      </c>
      <c r="B169" s="386">
        <v>-14583981</v>
      </c>
      <c r="C169" s="391">
        <v>9337473</v>
      </c>
    </row>
    <row r="170" spans="1:3">
      <c r="A170" s="393" t="s">
        <v>589</v>
      </c>
      <c r="B170" s="386">
        <v>-5336370</v>
      </c>
      <c r="C170" s="391">
        <v>3202034</v>
      </c>
    </row>
    <row r="171" spans="1:3">
      <c r="A171" s="393" t="s">
        <v>590</v>
      </c>
      <c r="B171" s="386">
        <v>-114919555</v>
      </c>
      <c r="C171" s="391">
        <v>105686859</v>
      </c>
    </row>
    <row r="172" spans="1:3">
      <c r="A172" s="393" t="s">
        <v>591</v>
      </c>
      <c r="B172" s="386">
        <v>5684493</v>
      </c>
      <c r="C172" s="391">
        <v>-1067461</v>
      </c>
    </row>
    <row r="173" spans="1:3">
      <c r="A173" s="393" t="s">
        <v>592</v>
      </c>
      <c r="B173" s="386">
        <v>72050567</v>
      </c>
      <c r="C173" s="391">
        <v>-308324</v>
      </c>
    </row>
    <row r="174" spans="1:3">
      <c r="A174" s="393" t="s">
        <v>593</v>
      </c>
      <c r="B174" s="386">
        <v>2308922</v>
      </c>
      <c r="C174" s="391">
        <v>4615999</v>
      </c>
    </row>
    <row r="175" spans="1:3">
      <c r="A175" s="393" t="s">
        <v>594</v>
      </c>
      <c r="B175" s="386">
        <v>44648785</v>
      </c>
      <c r="C175" s="391">
        <v>13337877</v>
      </c>
    </row>
    <row r="176" spans="1:3">
      <c r="A176" s="393" t="s">
        <v>595</v>
      </c>
      <c r="B176" s="386">
        <v>-8168336</v>
      </c>
      <c r="C176" s="391">
        <v>3579525</v>
      </c>
    </row>
    <row r="177" spans="1:3">
      <c r="A177" s="393" t="s">
        <v>596</v>
      </c>
      <c r="B177" s="386">
        <v>2398632</v>
      </c>
      <c r="C177" s="391">
        <v>2358699</v>
      </c>
    </row>
    <row r="178" spans="1:3">
      <c r="A178" s="393" t="s">
        <v>597</v>
      </c>
      <c r="B178" s="386">
        <v>500334</v>
      </c>
      <c r="C178" s="391">
        <v>237127</v>
      </c>
    </row>
    <row r="179" spans="1:3">
      <c r="A179" s="393" t="s">
        <v>598</v>
      </c>
      <c r="B179" s="386">
        <v>-2215903</v>
      </c>
      <c r="C179" s="391">
        <v>-3258431</v>
      </c>
    </row>
    <row r="180" spans="1:3">
      <c r="A180" s="393" t="s">
        <v>599</v>
      </c>
      <c r="B180" s="386">
        <v>-890910</v>
      </c>
      <c r="C180" s="391">
        <v>-163747</v>
      </c>
    </row>
    <row r="181" spans="1:3">
      <c r="A181" s="393" t="s">
        <v>600</v>
      </c>
      <c r="B181" s="386">
        <v>537026</v>
      </c>
      <c r="C181" s="391">
        <v>61194</v>
      </c>
    </row>
    <row r="182" spans="1:3">
      <c r="A182" s="97" t="s">
        <v>601</v>
      </c>
      <c r="B182" s="386">
        <v>10239717</v>
      </c>
      <c r="C182" s="391">
        <v>8368942</v>
      </c>
    </row>
    <row r="183" spans="1:3">
      <c r="A183" s="393" t="s">
        <v>602</v>
      </c>
      <c r="B183" s="386">
        <v>-34625488</v>
      </c>
      <c r="C183" s="391">
        <v>-48619753</v>
      </c>
    </row>
    <row r="184" spans="1:3">
      <c r="A184" s="393" t="s">
        <v>603</v>
      </c>
      <c r="B184" s="386">
        <v>1075490</v>
      </c>
      <c r="C184" s="391">
        <v>16157604</v>
      </c>
    </row>
    <row r="185" spans="1:3">
      <c r="A185" s="393" t="s">
        <v>604</v>
      </c>
      <c r="B185" s="386">
        <v>-2005385</v>
      </c>
      <c r="C185" s="391">
        <v>5621876</v>
      </c>
    </row>
    <row r="186" spans="1:3">
      <c r="A186" s="393" t="s">
        <v>605</v>
      </c>
      <c r="B186" s="386">
        <v>-4823958</v>
      </c>
      <c r="C186" s="391">
        <v>-15672136</v>
      </c>
    </row>
    <row r="187" spans="1:3">
      <c r="A187" s="100" t="s">
        <v>606</v>
      </c>
      <c r="B187" s="394">
        <v>641874869</v>
      </c>
      <c r="C187" s="395">
        <v>584138082</v>
      </c>
    </row>
    <row r="189" spans="1:3" ht="28.5">
      <c r="A189" s="384" t="s">
        <v>621</v>
      </c>
    </row>
    <row r="190" spans="1:3">
      <c r="A190" s="94" t="s">
        <v>558</v>
      </c>
    </row>
    <row r="191" spans="1:3">
      <c r="A191" s="124" t="s">
        <v>367</v>
      </c>
      <c r="B191" s="125" t="s">
        <v>609</v>
      </c>
      <c r="C191" s="126" t="s">
        <v>610</v>
      </c>
    </row>
    <row r="192" spans="1:3">
      <c r="A192" s="390" t="s">
        <v>622</v>
      </c>
      <c r="B192" s="402"/>
      <c r="C192" s="404"/>
    </row>
    <row r="193" spans="1:3">
      <c r="A193" s="390" t="s">
        <v>623</v>
      </c>
      <c r="B193" s="403">
        <v>471293</v>
      </c>
      <c r="C193" s="98">
        <v>479877</v>
      </c>
    </row>
    <row r="194" spans="1:3">
      <c r="A194" s="390" t="s">
        <v>624</v>
      </c>
      <c r="B194" s="403">
        <v>11962</v>
      </c>
      <c r="C194" s="98">
        <v>17102</v>
      </c>
    </row>
    <row r="195" spans="1:3">
      <c r="A195" s="390" t="s">
        <v>625</v>
      </c>
      <c r="B195" s="403">
        <v>5979482</v>
      </c>
      <c r="C195" s="98">
        <v>7453119</v>
      </c>
    </row>
    <row r="196" spans="1:3">
      <c r="A196" s="390" t="s">
        <v>626</v>
      </c>
      <c r="B196" s="403">
        <v>2822300</v>
      </c>
      <c r="C196" s="98">
        <v>5987156</v>
      </c>
    </row>
    <row r="197" spans="1:3">
      <c r="A197" s="390" t="s">
        <v>627</v>
      </c>
      <c r="B197" s="95">
        <v>760329</v>
      </c>
      <c r="C197" s="98">
        <v>1059172</v>
      </c>
    </row>
    <row r="198" spans="1:3">
      <c r="A198" s="390" t="s">
        <v>628</v>
      </c>
      <c r="B198" s="95">
        <v>380935</v>
      </c>
      <c r="C198" s="98">
        <v>2289826</v>
      </c>
    </row>
    <row r="199" spans="1:3">
      <c r="A199" s="97" t="s">
        <v>629</v>
      </c>
      <c r="B199" s="403">
        <v>375506</v>
      </c>
      <c r="C199" s="98">
        <v>29547</v>
      </c>
    </row>
    <row r="200" spans="1:3">
      <c r="A200" s="97" t="s">
        <v>630</v>
      </c>
      <c r="B200" s="403">
        <v>249900</v>
      </c>
      <c r="C200" s="99" t="s">
        <v>573</v>
      </c>
    </row>
    <row r="201" spans="1:3">
      <c r="A201" s="390" t="s">
        <v>631</v>
      </c>
      <c r="B201" s="403">
        <v>123781</v>
      </c>
      <c r="C201" s="99" t="s">
        <v>573</v>
      </c>
    </row>
    <row r="202" spans="1:3">
      <c r="A202" s="405" t="s">
        <v>632</v>
      </c>
      <c r="B202" s="403">
        <v>11175488</v>
      </c>
      <c r="C202" s="98">
        <v>17315799</v>
      </c>
    </row>
    <row r="203" spans="1:3">
      <c r="A203" s="390" t="s">
        <v>633</v>
      </c>
      <c r="B203" s="402"/>
      <c r="C203" s="99"/>
    </row>
    <row r="204" spans="1:3" s="366" customFormat="1">
      <c r="A204" s="396" t="s">
        <v>634</v>
      </c>
      <c r="B204" s="409">
        <v>7926585</v>
      </c>
      <c r="C204" s="365">
        <v>10734976</v>
      </c>
    </row>
    <row r="205" spans="1:3">
      <c r="A205" s="390" t="s">
        <v>635</v>
      </c>
      <c r="B205" s="403">
        <v>6551013</v>
      </c>
      <c r="C205" s="98">
        <v>7070196</v>
      </c>
    </row>
    <row r="206" spans="1:3">
      <c r="A206" s="390" t="s">
        <v>636</v>
      </c>
      <c r="B206" s="403">
        <v>4626800</v>
      </c>
      <c r="C206" s="98">
        <v>11338427</v>
      </c>
    </row>
    <row r="207" spans="1:3">
      <c r="A207" s="97" t="s">
        <v>637</v>
      </c>
      <c r="B207" s="403">
        <v>1067627</v>
      </c>
      <c r="C207" s="98">
        <v>1850722</v>
      </c>
    </row>
    <row r="208" spans="1:3">
      <c r="A208" s="97" t="s">
        <v>638</v>
      </c>
      <c r="B208" s="403">
        <v>444470</v>
      </c>
      <c r="C208" s="98">
        <v>734734</v>
      </c>
    </row>
    <row r="209" spans="1:3">
      <c r="A209" s="406" t="s">
        <v>639</v>
      </c>
      <c r="B209" s="407">
        <v>20616495</v>
      </c>
      <c r="C209" s="122">
        <v>31729055</v>
      </c>
    </row>
  </sheetData>
  <mergeCells count="1">
    <mergeCell ref="A144:C14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31837"/>
    <pageSetUpPr fitToPage="1"/>
  </sheetPr>
  <dimension ref="A1:Q43"/>
  <sheetViews>
    <sheetView view="pageBreakPreview" topLeftCell="A10" zoomScale="120" zoomScaleNormal="115" zoomScaleSheetLayoutView="120" workbookViewId="0">
      <selection activeCell="Q31" sqref="Q31"/>
    </sheetView>
  </sheetViews>
  <sheetFormatPr defaultRowHeight="14.25"/>
  <cols>
    <col min="1" max="1" width="28.625" style="270" customWidth="1"/>
    <col min="2" max="17" width="4.5" style="269" customWidth="1"/>
    <col min="18" max="16384" width="9" style="1"/>
  </cols>
  <sheetData>
    <row r="1" spans="1:17" ht="18">
      <c r="A1" s="65" t="s">
        <v>86</v>
      </c>
      <c r="B1" s="240"/>
      <c r="C1" s="240"/>
      <c r="D1" s="240"/>
      <c r="E1" s="240"/>
      <c r="F1" s="240"/>
      <c r="G1" s="240"/>
      <c r="H1" s="240"/>
      <c r="I1" s="240"/>
      <c r="J1" s="240"/>
      <c r="K1" s="240"/>
      <c r="L1" s="240"/>
      <c r="M1" s="240"/>
      <c r="N1" s="240"/>
      <c r="O1" s="240"/>
      <c r="P1" s="486" t="s">
        <v>817</v>
      </c>
      <c r="Q1" s="486"/>
    </row>
    <row r="2" spans="1:17" ht="12.75">
      <c r="A2" s="66" t="s">
        <v>714</v>
      </c>
      <c r="B2" s="240"/>
      <c r="C2" s="240"/>
      <c r="D2" s="240"/>
      <c r="E2" s="240"/>
      <c r="F2" s="240"/>
      <c r="G2" s="240"/>
      <c r="H2" s="240"/>
      <c r="I2" s="240"/>
      <c r="J2" s="240"/>
      <c r="K2" s="240"/>
      <c r="L2" s="240"/>
      <c r="M2" s="240"/>
      <c r="N2" s="240"/>
      <c r="O2" s="240"/>
      <c r="P2" s="240"/>
      <c r="Q2" s="240"/>
    </row>
    <row r="3" spans="1:17" ht="12.75">
      <c r="A3" s="66" t="s">
        <v>3</v>
      </c>
      <c r="B3" s="240"/>
      <c r="C3" s="240"/>
      <c r="D3" s="240"/>
      <c r="E3" s="240"/>
      <c r="F3" s="240"/>
      <c r="G3" s="240"/>
      <c r="H3" s="240"/>
      <c r="I3" s="240"/>
      <c r="J3" s="240"/>
      <c r="K3" s="240"/>
      <c r="L3" s="240"/>
      <c r="M3" s="240"/>
      <c r="N3" s="240"/>
      <c r="O3" s="240"/>
      <c r="P3" s="240"/>
      <c r="Q3" s="240"/>
    </row>
    <row r="4" spans="1:17" ht="15.75">
      <c r="A4" s="241" t="s">
        <v>661</v>
      </c>
      <c r="B4" s="240"/>
      <c r="C4" s="240"/>
      <c r="D4" s="240"/>
      <c r="E4" s="240"/>
      <c r="F4" s="240"/>
      <c r="G4" s="240"/>
      <c r="H4" s="240"/>
      <c r="I4" s="240"/>
      <c r="J4" s="240"/>
      <c r="K4" s="240"/>
      <c r="L4" s="240"/>
      <c r="M4" s="240"/>
      <c r="N4" s="240"/>
      <c r="O4" s="240"/>
      <c r="P4" s="240"/>
      <c r="Q4" s="240"/>
    </row>
    <row r="5" spans="1:17" s="35" customFormat="1" ht="13.5" customHeight="1">
      <c r="A5" s="68" t="str">
        <f>IF(VLOOKUP($P$1,Sheet1!$B$2:$C$4,2,FALSE)=1,Data2_PL!A7,Data2_PL!B7)</f>
        <v>(KRW bn)</v>
      </c>
      <c r="B5" s="242" t="str">
        <f>+Data2_PL!H7</f>
        <v>Q1 19</v>
      </c>
      <c r="C5" s="242" t="str">
        <f>+Data2_PL!I7</f>
        <v>Q2 19</v>
      </c>
      <c r="D5" s="242" t="str">
        <f>+Data2_PL!J7</f>
        <v>Q3 19</v>
      </c>
      <c r="E5" s="242" t="str">
        <f>+Data2_PL!K7</f>
        <v>Q4 19</v>
      </c>
      <c r="F5" s="243" t="str">
        <f>+Data2_PL!L7</f>
        <v>FY19</v>
      </c>
      <c r="G5" s="242" t="s">
        <v>79</v>
      </c>
      <c r="H5" s="242" t="s">
        <v>80</v>
      </c>
      <c r="I5" s="242" t="str">
        <f>+Data2_PL!O7</f>
        <v>Q3 20</v>
      </c>
      <c r="J5" s="242" t="str">
        <f>+Data2_PL!P7</f>
        <v>Q4 20</v>
      </c>
      <c r="K5" s="243" t="str">
        <f>+Data2_PL!Q7</f>
        <v>FY20</v>
      </c>
      <c r="L5" s="242" t="s">
        <v>87</v>
      </c>
      <c r="M5" s="242" t="s">
        <v>88</v>
      </c>
      <c r="N5" s="242" t="str">
        <f>+Data2_PL!T7</f>
        <v>Q3 21</v>
      </c>
      <c r="O5" s="242" t="str">
        <f>+Data2_PL!U7</f>
        <v>Q4 21</v>
      </c>
      <c r="P5" s="243" t="str">
        <f>+Data2_PL!V7</f>
        <v>FY21</v>
      </c>
      <c r="Q5" s="242" t="str">
        <f>+Data2_PL!W7</f>
        <v>Q1 22</v>
      </c>
    </row>
    <row r="6" spans="1:17" s="6" customFormat="1" ht="18" customHeight="1">
      <c r="A6" s="244" t="str">
        <f>IF(VLOOKUP($P$1,Sheet1!$B$2:$C$4,2,FALSE)=1,Data2_PL!A8,Data2_PL!B8)</f>
        <v>Revenue</v>
      </c>
      <c r="B6" s="245">
        <f>+Data2_PL!H8</f>
        <v>834.57623564400069</v>
      </c>
      <c r="C6" s="245">
        <f>+Data2_PL!I8</f>
        <v>959.30264724200083</v>
      </c>
      <c r="D6" s="245">
        <f>+Data2_PL!J8</f>
        <v>866.98594883500073</v>
      </c>
      <c r="E6" s="245">
        <f>+Data2_PL!K8</f>
        <v>789.55669821500055</v>
      </c>
      <c r="F6" s="246">
        <f>+Data2_PL!L8</f>
        <v>3450.421529936003</v>
      </c>
      <c r="G6" s="245">
        <f>+Data2_PL!M8</f>
        <v>789.90093589200069</v>
      </c>
      <c r="H6" s="245">
        <f>+Data2_PL!N8</f>
        <v>625.01127687200051</v>
      </c>
      <c r="I6" s="245">
        <f>+Data2_PL!O8</f>
        <v>917.43127043200082</v>
      </c>
      <c r="J6" s="245">
        <f>+Data2_PL!P8</f>
        <v>796.46236960100077</v>
      </c>
      <c r="K6" s="246">
        <f>+Data2_PL!Q8</f>
        <v>3128.8058527970029</v>
      </c>
      <c r="L6" s="245">
        <f>+Data2_PL!R8</f>
        <v>988.28098185200088</v>
      </c>
      <c r="M6" s="245">
        <f>+Data2_PL!S8</f>
        <v>1019.3539805120009</v>
      </c>
      <c r="N6" s="245">
        <f>+Data2_PL!T8</f>
        <v>927.06525331500086</v>
      </c>
      <c r="O6" s="245">
        <f>+Data2_PL!U8</f>
        <v>859.25842427600094</v>
      </c>
      <c r="P6" s="246">
        <f>+Data2_PL!V8</f>
        <v>3793.9586399550035</v>
      </c>
      <c r="Q6" s="245">
        <f>+Data2_PL!W8</f>
        <v>1073.5628156420009</v>
      </c>
    </row>
    <row r="7" spans="1:17" s="6" customFormat="1" ht="12.75" customHeight="1">
      <c r="A7" s="247" t="str">
        <f>IF(VLOOKUP($P$1,Sheet1!$B$2:$C$4,2,FALSE)=1,Data2_PL!A9,Data2_PL!B9)</f>
        <v>Cost of sales</v>
      </c>
      <c r="B7" s="248">
        <f>+Data2_PL!H9</f>
        <v>416.85733287100038</v>
      </c>
      <c r="C7" s="248">
        <f>+Data2_PL!I9</f>
        <v>459.3051649830004</v>
      </c>
      <c r="D7" s="248">
        <f>+Data2_PL!J9</f>
        <v>449.61160411500038</v>
      </c>
      <c r="E7" s="248">
        <f>+Data2_PL!K9</f>
        <v>394.94038571100049</v>
      </c>
      <c r="F7" s="249">
        <f>+Data2_PL!L9</f>
        <v>1720.7144876800016</v>
      </c>
      <c r="G7" s="248">
        <f>+Data2_PL!M9</f>
        <v>408.20173110000036</v>
      </c>
      <c r="H7" s="248">
        <f>+Data2_PL!N9</f>
        <v>298.44193340500027</v>
      </c>
      <c r="I7" s="248">
        <f>+Data2_PL!O9</f>
        <v>471.10748996800044</v>
      </c>
      <c r="J7" s="248">
        <f>+Data2_PL!P9</f>
        <v>406.41329992700048</v>
      </c>
      <c r="K7" s="249">
        <f>+Data2_PL!Q9</f>
        <v>1584.1644544000014</v>
      </c>
      <c r="L7" s="248">
        <f>+Data2_PL!R9</f>
        <v>489.74006054500046</v>
      </c>
      <c r="M7" s="248">
        <f>+Data2_PL!S9</f>
        <v>496.92735649200046</v>
      </c>
      <c r="N7" s="248">
        <f>+Data2_PL!T9</f>
        <v>473.90036575300041</v>
      </c>
      <c r="O7" s="248">
        <f>+Data2_PL!U9</f>
        <v>453.14084591400047</v>
      </c>
      <c r="P7" s="249">
        <f>+Data2_PL!V9</f>
        <v>1913.7086287040017</v>
      </c>
      <c r="Q7" s="248">
        <f>+Data2_PL!W9</f>
        <v>543.62163109900052</v>
      </c>
    </row>
    <row r="8" spans="1:17" s="6" customFormat="1" ht="12.75" customHeight="1">
      <c r="A8" s="247" t="str">
        <f>IF(VLOOKUP($P$1,Sheet1!$B$2:$C$4,2,FALSE)=1,Data2_PL!A10,Data2_PL!B10)</f>
        <v>Gross profit</v>
      </c>
      <c r="B8" s="248">
        <f>+Data2_PL!H10</f>
        <v>417.71890277300037</v>
      </c>
      <c r="C8" s="248">
        <f>+Data2_PL!I10</f>
        <v>499.99748225900044</v>
      </c>
      <c r="D8" s="248">
        <f>+Data2_PL!J10</f>
        <v>417.37434472000035</v>
      </c>
      <c r="E8" s="248">
        <f>+Data2_PL!K10</f>
        <v>394.61631250400052</v>
      </c>
      <c r="F8" s="249">
        <f>+Data2_PL!L10</f>
        <v>1729.7070422560016</v>
      </c>
      <c r="G8" s="248">
        <f>+Data2_PL!M10</f>
        <v>381.69920479200033</v>
      </c>
      <c r="H8" s="248">
        <f>+Data2_PL!N10</f>
        <v>326.56934346700029</v>
      </c>
      <c r="I8" s="248">
        <f>+Data2_PL!O10</f>
        <v>446.32378046400038</v>
      </c>
      <c r="J8" s="248">
        <f>+Data2_PL!P10</f>
        <v>390.04906967400029</v>
      </c>
      <c r="K8" s="249">
        <f>+Data2_PL!Q10</f>
        <v>1544.6413983970015</v>
      </c>
      <c r="L8" s="248">
        <f>+Data2_PL!R10</f>
        <v>498.54092130700042</v>
      </c>
      <c r="M8" s="248">
        <f>+Data2_PL!S10</f>
        <v>522.42662402000042</v>
      </c>
      <c r="N8" s="248">
        <f>+Data2_PL!T10</f>
        <v>453.16488756200039</v>
      </c>
      <c r="O8" s="248">
        <f>+Data2_PL!U10</f>
        <v>406.11757836200053</v>
      </c>
      <c r="P8" s="249">
        <f>+Data2_PL!V10</f>
        <v>1880.2500112510018</v>
      </c>
      <c r="Q8" s="248">
        <f>+Data2_PL!W10</f>
        <v>529.94118454300042</v>
      </c>
    </row>
    <row r="9" spans="1:17" s="6" customFormat="1" ht="12.75" customHeight="1">
      <c r="A9" s="250" t="str">
        <f>IF(VLOOKUP($P$1,Sheet1!$B$2:$C$4,2,FALSE)=1,Data2_PL!A11,Data2_PL!B11)</f>
        <v>Selling and administrative expenses</v>
      </c>
      <c r="B9" s="248">
        <f>+Data2_PL!H11</f>
        <v>301.86892579500028</v>
      </c>
      <c r="C9" s="248">
        <f>+Data2_PL!I11</f>
        <v>355.12510499600029</v>
      </c>
      <c r="D9" s="248">
        <f>+Data2_PL!J11</f>
        <v>292.49405244900026</v>
      </c>
      <c r="E9" s="248">
        <f>+Data2_PL!K11</f>
        <v>309.54246637000028</v>
      </c>
      <c r="F9" s="249">
        <f>+Data2_PL!L11</f>
        <v>1259.0305496100011</v>
      </c>
      <c r="G9" s="248">
        <f>+Data2_PL!M11</f>
        <v>314.55698871700025</v>
      </c>
      <c r="H9" s="248">
        <f>+Data2_PL!N11</f>
        <v>276.28866527200023</v>
      </c>
      <c r="I9" s="248">
        <f>+Data2_PL!O11</f>
        <v>290.74125270400026</v>
      </c>
      <c r="J9" s="248">
        <f>+Data2_PL!P11</f>
        <v>321.97660742300013</v>
      </c>
      <c r="K9" s="249">
        <f>+Data2_PL!Q11</f>
        <v>1203.563514116001</v>
      </c>
      <c r="L9" s="248">
        <f>+Data2_PL!R11</f>
        <v>314.97197217100029</v>
      </c>
      <c r="M9" s="248">
        <f>+Data2_PL!S11</f>
        <v>348.64094279200032</v>
      </c>
      <c r="N9" s="248">
        <f>+Data2_PL!T11</f>
        <v>342.85416153500029</v>
      </c>
      <c r="O9" s="248">
        <f>+Data2_PL!U11</f>
        <v>380.93178058400048</v>
      </c>
      <c r="P9" s="249">
        <f>+Data2_PL!V11</f>
        <v>1387.3988570820013</v>
      </c>
      <c r="Q9" s="248">
        <f>+Data2_PL!W11</f>
        <v>361.14736909600032</v>
      </c>
    </row>
    <row r="10" spans="1:17" s="6" customFormat="1" ht="18" customHeight="1">
      <c r="A10" s="251" t="str">
        <f>IF(VLOOKUP($P$1,Sheet1!$B$2:$C$4,2,FALSE)=1,Data2_PL!A12,Data2_PL!B12)</f>
        <v>Operating profit</v>
      </c>
      <c r="B10" s="252">
        <f>+Data2_PL!H12</f>
        <v>115.8499769780001</v>
      </c>
      <c r="C10" s="252">
        <f>+Data2_PL!I12</f>
        <v>144.87237726300012</v>
      </c>
      <c r="D10" s="252">
        <f>+Data2_PL!J12</f>
        <v>124.88029227100012</v>
      </c>
      <c r="E10" s="252">
        <f>+Data2_PL!K12</f>
        <v>85.073846134000121</v>
      </c>
      <c r="F10" s="253">
        <f>+Data2_PL!L12</f>
        <v>470.67649264600044</v>
      </c>
      <c r="G10" s="252">
        <f>+Data2_PL!M12</f>
        <v>67.142216075000064</v>
      </c>
      <c r="H10" s="252">
        <f>+Data2_PL!N12</f>
        <v>50.280678195000043</v>
      </c>
      <c r="I10" s="252">
        <f>+Data2_PL!O12</f>
        <v>155.58252776000015</v>
      </c>
      <c r="J10" s="252">
        <f>+Data2_PL!P12</f>
        <v>68.072462251000047</v>
      </c>
      <c r="K10" s="253">
        <f>+Data2_PL!Q12</f>
        <v>341.07788428100031</v>
      </c>
      <c r="L10" s="252">
        <f>+Data2_PL!R12</f>
        <v>183.56894913600016</v>
      </c>
      <c r="M10" s="252">
        <f>+Data2_PL!S12</f>
        <v>173.78568122800016</v>
      </c>
      <c r="N10" s="252">
        <f>+Data2_PL!T12</f>
        <v>110.3107260270001</v>
      </c>
      <c r="O10" s="252">
        <f>+Data2_PL!U12</f>
        <v>25.185797778000051</v>
      </c>
      <c r="P10" s="253">
        <f>+Data2_PL!V12</f>
        <v>492.85115416900044</v>
      </c>
      <c r="Q10" s="252">
        <f>+Data2_PL!W12</f>
        <v>168.79381544700016</v>
      </c>
    </row>
    <row r="11" spans="1:17" s="6" customFormat="1" ht="12.75">
      <c r="A11" s="247" t="str">
        <f>IF(VLOOKUP($P$1,Sheet1!$B$2:$C$4,2,FALSE)=1,Data2_PL!A13,Data2_PL!B13)</f>
        <v>Other income</v>
      </c>
      <c r="B11" s="248">
        <f>+Data2_PL!H13</f>
        <v>3.1042309590000028</v>
      </c>
      <c r="C11" s="248">
        <f>+Data2_PL!I13</f>
        <v>1.1202953670000011</v>
      </c>
      <c r="D11" s="248">
        <f>+Data2_PL!J13</f>
        <v>26.799045185000026</v>
      </c>
      <c r="E11" s="248">
        <f>+Data2_PL!K13</f>
        <v>2.6922356130000011</v>
      </c>
      <c r="F11" s="249">
        <f>+Data2_PL!L13</f>
        <v>33.71580712400003</v>
      </c>
      <c r="G11" s="248">
        <f>+Data2_PL!M13</f>
        <v>0.9127573580000008</v>
      </c>
      <c r="H11" s="248">
        <f>+Data2_PL!N13</f>
        <v>1.0473549080000009</v>
      </c>
      <c r="I11" s="248">
        <f>+Data2_PL!O13</f>
        <v>0.63695576600000059</v>
      </c>
      <c r="J11" s="248">
        <f>+Data2_PL!P13</f>
        <v>5.6233307460000042</v>
      </c>
      <c r="K11" s="249">
        <f>+Data2_PL!Q13</f>
        <v>8.220398778000007</v>
      </c>
      <c r="L11" s="248">
        <f>+Data2_PL!R13</f>
        <v>0.61953955000000061</v>
      </c>
      <c r="M11" s="248">
        <f>+Data2_PL!S13</f>
        <v>1.6447948040000016</v>
      </c>
      <c r="N11" s="248">
        <f>+Data2_PL!T13</f>
        <v>1.5130658210000014</v>
      </c>
      <c r="O11" s="248">
        <f>+Data2_PL!U13</f>
        <v>2.6661856420000021</v>
      </c>
      <c r="P11" s="249">
        <f>+Data2_PL!V13</f>
        <v>6.443585817000006</v>
      </c>
      <c r="Q11" s="248">
        <f>+Data2_PL!W13</f>
        <v>1.8049781690000015</v>
      </c>
    </row>
    <row r="12" spans="1:17" s="6" customFormat="1" ht="12.75">
      <c r="A12" s="247" t="str">
        <f>IF(VLOOKUP($P$1,Sheet1!$B$2:$C$4,2,FALSE)=1,Data2_PL!A14,Data2_PL!B14)</f>
        <v>Other expenses</v>
      </c>
      <c r="B12" s="248">
        <f>+Data2_PL!H14</f>
        <v>0.91211247300000076</v>
      </c>
      <c r="C12" s="248">
        <f>+Data2_PL!I14</f>
        <v>2.6734681460000025</v>
      </c>
      <c r="D12" s="248">
        <f>+Data2_PL!J14</f>
        <v>0.68327354300000065</v>
      </c>
      <c r="E12" s="248">
        <f>+Data2_PL!K14</f>
        <v>6.5307596840000066</v>
      </c>
      <c r="F12" s="249">
        <f>+Data2_PL!L14</f>
        <v>10.79961384600001</v>
      </c>
      <c r="G12" s="248">
        <f>+Data2_PL!M14</f>
        <v>3.0022890710000025</v>
      </c>
      <c r="H12" s="248">
        <f>+Data2_PL!N14</f>
        <v>1.3207963890000012</v>
      </c>
      <c r="I12" s="248">
        <f>+Data2_PL!O14</f>
        <v>0.50056064700000047</v>
      </c>
      <c r="J12" s="248">
        <f>+Data2_PL!P14</f>
        <v>17.422561831000017</v>
      </c>
      <c r="K12" s="249">
        <f>+Data2_PL!Q14</f>
        <v>22.246207938000019</v>
      </c>
      <c r="L12" s="248">
        <f>+Data2_PL!R14</f>
        <v>0.73359389200000069</v>
      </c>
      <c r="M12" s="248">
        <f>+Data2_PL!S14</f>
        <v>1.3276865820000012</v>
      </c>
      <c r="N12" s="248">
        <f>+Data2_PL!T14</f>
        <v>2.3780975960000021</v>
      </c>
      <c r="O12" s="248">
        <f>+Data2_PL!U14</f>
        <v>1.7171648990000015</v>
      </c>
      <c r="P12" s="249">
        <f>+Data2_PL!V14</f>
        <v>6.1565429690000055</v>
      </c>
      <c r="Q12" s="248">
        <f>+Data2_PL!W14</f>
        <v>1.276810187000001</v>
      </c>
    </row>
    <row r="13" spans="1:17" s="6" customFormat="1" ht="12.75">
      <c r="A13" s="247" t="str">
        <f>IF(VLOOKUP($P$1,Sheet1!$B$2:$C$4,2,FALSE)=1,Data2_PL!A15,Data2_PL!B15)</f>
        <v>Financial income</v>
      </c>
      <c r="B13" s="248">
        <f>+Data2_PL!H15</f>
        <v>5.2581941270000048</v>
      </c>
      <c r="C13" s="248">
        <f>+Data2_PL!I15</f>
        <v>8.7345516320000076</v>
      </c>
      <c r="D13" s="248">
        <f>+Data2_PL!J15</f>
        <v>7.6208767370000068</v>
      </c>
      <c r="E13" s="248">
        <f>+Data2_PL!K15</f>
        <v>0.24692730799999829</v>
      </c>
      <c r="F13" s="249">
        <f>+Data2_PL!L15</f>
        <v>21.860549804000019</v>
      </c>
      <c r="G13" s="248">
        <f>+Data2_PL!M15</f>
        <v>17.315799613000017</v>
      </c>
      <c r="H13" s="248">
        <f>+Data2_PL!N15</f>
        <v>1.2173735580000011</v>
      </c>
      <c r="I13" s="248">
        <f>+Data2_PL!O15</f>
        <v>7.6851587090000066</v>
      </c>
      <c r="J13" s="248">
        <f>+Data2_PL!P15</f>
        <v>12.382274080000006</v>
      </c>
      <c r="K13" s="249">
        <f>+Data2_PL!Q15</f>
        <v>38.600605960000031</v>
      </c>
      <c r="L13" s="248">
        <f>+Data2_PL!R15</f>
        <v>11.175487857000009</v>
      </c>
      <c r="M13" s="248">
        <f>+Data2_PL!S15</f>
        <v>7.4610392610000069</v>
      </c>
      <c r="N13" s="248">
        <f>+Data2_PL!T15</f>
        <v>6.8887173830000057</v>
      </c>
      <c r="O13" s="248">
        <f>+Data2_PL!U15</f>
        <v>-0.20589632699999871</v>
      </c>
      <c r="P13" s="249">
        <f>+Data2_PL!V15</f>
        <v>25.319348174000023</v>
      </c>
      <c r="Q13" s="248">
        <f>+Data2_PL!W15</f>
        <v>7.509285554000007</v>
      </c>
    </row>
    <row r="14" spans="1:17" s="6" customFormat="1" ht="12.75">
      <c r="A14" s="247" t="str">
        <f>IF(VLOOKUP($P$1,Sheet1!$B$2:$C$4,2,FALSE)=1,Data2_PL!A16,Data2_PL!B16)</f>
        <v>Financial costs</v>
      </c>
      <c r="B14" s="248">
        <f>+Data2_PL!H16</f>
        <v>20.679232912000018</v>
      </c>
      <c r="C14" s="248">
        <f>+Data2_PL!I16</f>
        <v>23.36591076700002</v>
      </c>
      <c r="D14" s="248">
        <f>+Data2_PL!J16</f>
        <v>22.92080530800002</v>
      </c>
      <c r="E14" s="248">
        <f>+Data2_PL!K16</f>
        <v>14.305334600000016</v>
      </c>
      <c r="F14" s="249">
        <f>+Data2_PL!L16</f>
        <v>81.27128358700007</v>
      </c>
      <c r="G14" s="248">
        <f>+Data2_PL!M16</f>
        <v>31.729054495000028</v>
      </c>
      <c r="H14" s="248">
        <f>+Data2_PL!N16</f>
        <v>9.9082093070000088</v>
      </c>
      <c r="I14" s="248">
        <f>+Data2_PL!O16</f>
        <v>12.768228780000012</v>
      </c>
      <c r="J14" s="248">
        <f>+Data2_PL!P16</f>
        <v>13.943981887000007</v>
      </c>
      <c r="K14" s="249">
        <f>+Data2_PL!Q16</f>
        <v>68.349474469000057</v>
      </c>
      <c r="L14" s="248">
        <f>+Data2_PL!R16</f>
        <v>20.616495140000019</v>
      </c>
      <c r="M14" s="248">
        <f>+Data2_PL!S16</f>
        <v>14.926154501000013</v>
      </c>
      <c r="N14" s="248">
        <f>+Data2_PL!T16</f>
        <v>13.713055471000013</v>
      </c>
      <c r="O14" s="248">
        <f>+Data2_PL!U16</f>
        <v>4.9612155960000006</v>
      </c>
      <c r="P14" s="249">
        <f>+Data2_PL!V16</f>
        <v>54.216920708000046</v>
      </c>
      <c r="Q14" s="248">
        <f>+Data2_PL!W16</f>
        <v>12.285055437000011</v>
      </c>
    </row>
    <row r="15" spans="1:17" s="6" customFormat="1" ht="22.5" customHeight="1">
      <c r="A15" s="254" t="str">
        <f>IF(VLOOKUP($P$1,Sheet1!$B$2:$C$4,2,FALSE)=1,Data2_PL!A17,Data2_PL!B17)</f>
        <v>Share of net profit of associates accounted for using the equity method</v>
      </c>
      <c r="B15" s="248">
        <f>+Data2_PL!H17</f>
        <v>6.344551136000006</v>
      </c>
      <c r="C15" s="248">
        <f>+Data2_PL!I17</f>
        <v>9.861280561000008</v>
      </c>
      <c r="D15" s="248">
        <f>+Data2_PL!J17</f>
        <v>6.2710049400000054</v>
      </c>
      <c r="E15" s="248">
        <f>+Data2_PL!K17</f>
        <v>12.144731991000015</v>
      </c>
      <c r="F15" s="249">
        <f>+Data2_PL!L17</f>
        <v>34.621568628000034</v>
      </c>
      <c r="G15" s="248">
        <f>+Data2_PL!M17</f>
        <v>6.8910001380000061</v>
      </c>
      <c r="H15" s="248">
        <f>+Data2_PL!N17</f>
        <v>11.84351295100001</v>
      </c>
      <c r="I15" s="248">
        <f>+Data2_PL!O17</f>
        <v>8.629261239000007</v>
      </c>
      <c r="J15" s="248">
        <f>+Data2_PL!P17</f>
        <v>15.23740071000001</v>
      </c>
      <c r="K15" s="249">
        <f>+Data2_PL!Q17</f>
        <v>42.601175038000036</v>
      </c>
      <c r="L15" s="248">
        <f>+Data2_PL!R17</f>
        <v>11.662938919000011</v>
      </c>
      <c r="M15" s="248">
        <f>+Data2_PL!S17</f>
        <v>15.020269390000013</v>
      </c>
      <c r="N15" s="248">
        <f>+Data2_PL!T17</f>
        <v>6.8668533660000062</v>
      </c>
      <c r="O15" s="248">
        <f>+Data2_PL!U17</f>
        <v>15.009785275000011</v>
      </c>
      <c r="P15" s="249">
        <f>+Data2_PL!V17</f>
        <v>48.559846950000043</v>
      </c>
      <c r="Q15" s="248">
        <f>+Data2_PL!W17</f>
        <v>13.447242000000012</v>
      </c>
    </row>
    <row r="16" spans="1:17" s="6" customFormat="1" ht="18" customHeight="1">
      <c r="A16" s="251" t="str">
        <f>IF(VLOOKUP($P$1,Sheet1!$B$2:$C$4,2,FALSE)=1,Data2_PL!A18,Data2_PL!B18)</f>
        <v>Profit before income tax</v>
      </c>
      <c r="B16" s="252">
        <f>+Data2_PL!H18</f>
        <v>109.3710782990001</v>
      </c>
      <c r="C16" s="252">
        <f>+Data2_PL!I18</f>
        <v>139.05697817100011</v>
      </c>
      <c r="D16" s="252">
        <f>+Data2_PL!J18</f>
        <v>142.66699241100014</v>
      </c>
      <c r="E16" s="252">
        <f>+Data2_PL!K18</f>
        <v>80.159983114000084</v>
      </c>
      <c r="F16" s="253">
        <f>+Data2_PL!L18</f>
        <v>471.25503199500042</v>
      </c>
      <c r="G16" s="252">
        <f>+Data2_PL!M18</f>
        <v>57.530429618000049</v>
      </c>
      <c r="H16" s="252">
        <f>+Data2_PL!N18</f>
        <v>53.15991391600005</v>
      </c>
      <c r="I16" s="252">
        <f>+Data2_PL!O18</f>
        <v>159.26511404700014</v>
      </c>
      <c r="J16" s="252">
        <f>+Data2_PL!P18</f>
        <v>69.948924069000043</v>
      </c>
      <c r="K16" s="253">
        <f>+Data2_PL!Q18</f>
        <v>339.90438165000029</v>
      </c>
      <c r="L16" s="252">
        <f>+Data2_PL!R18</f>
        <v>185.67682643000018</v>
      </c>
      <c r="M16" s="252">
        <f>+Data2_PL!S18</f>
        <v>181.65794360000015</v>
      </c>
      <c r="N16" s="252">
        <f>+Data2_PL!T18</f>
        <v>109.48820953000009</v>
      </c>
      <c r="O16" s="252">
        <f>+Data2_PL!U18</f>
        <v>35.977491873000019</v>
      </c>
      <c r="P16" s="253">
        <f>+Data2_PL!V18</f>
        <v>512.80047143300044</v>
      </c>
      <c r="Q16" s="252">
        <f>+Data2_PL!W18</f>
        <v>177.99345554600015</v>
      </c>
    </row>
    <row r="17" spans="1:17" s="6" customFormat="1" ht="12.75">
      <c r="A17" s="247" t="str">
        <f>IF(VLOOKUP($P$1,Sheet1!$B$2:$C$4,2,FALSE)=1,Data2_PL!A19,Data2_PL!B19)</f>
        <v>Income tax expense</v>
      </c>
      <c r="B17" s="248">
        <f>+Data2_PL!H19</f>
        <v>13.161028507000012</v>
      </c>
      <c r="C17" s="248">
        <f>+Data2_PL!I19</f>
        <v>47.085159592000039</v>
      </c>
      <c r="D17" s="248">
        <f>+Data2_PL!J19</f>
        <v>44.216973888000041</v>
      </c>
      <c r="E17" s="248">
        <f>+Data2_PL!K19</f>
        <v>28.648071160000029</v>
      </c>
      <c r="F17" s="249">
        <f>+Data2_PL!L19</f>
        <v>133.11123314700012</v>
      </c>
      <c r="G17" s="248">
        <f>+Data2_PL!M19</f>
        <v>18.030286463000017</v>
      </c>
      <c r="H17" s="248">
        <f>+Data2_PL!N19</f>
        <v>7.6396600880000065</v>
      </c>
      <c r="I17" s="248">
        <f>+Data2_PL!O19</f>
        <v>64.150378633000059</v>
      </c>
      <c r="J17" s="248">
        <f>+Data2_PL!P19</f>
        <v>52.345337368000045</v>
      </c>
      <c r="K17" s="249">
        <f>+Data2_PL!Q19</f>
        <v>142.16566255200013</v>
      </c>
      <c r="L17" s="248">
        <f>+Data2_PL!R19</f>
        <v>51.476133152000045</v>
      </c>
      <c r="M17" s="248">
        <f>+Data2_PL!S19</f>
        <v>45.908040065000044</v>
      </c>
      <c r="N17" s="248">
        <f>+Data2_PL!T19</f>
        <v>33.563911161000028</v>
      </c>
      <c r="O17" s="248">
        <f>+Data2_PL!U19</f>
        <v>44.043057341000029</v>
      </c>
      <c r="P17" s="249">
        <f>+Data2_PL!V19</f>
        <v>174.99114171900015</v>
      </c>
      <c r="Q17" s="248">
        <f>+Data2_PL!W19</f>
        <v>54.901737768000046</v>
      </c>
    </row>
    <row r="18" spans="1:17" s="6" customFormat="1" ht="18" customHeight="1">
      <c r="A18" s="251" t="str">
        <f>IF(VLOOKUP($P$1,Sheet1!$B$2:$C$4,2,FALSE)=1,Data2_PL!A20,Data2_PL!B20)</f>
        <v>Profit for the year</v>
      </c>
      <c r="B18" s="252">
        <f>+Data2_PL!H20</f>
        <v>96.210049792000092</v>
      </c>
      <c r="C18" s="252">
        <f>+Data2_PL!I20</f>
        <v>91.971818579000086</v>
      </c>
      <c r="D18" s="252">
        <f>+Data2_PL!J20</f>
        <v>98.450018523000082</v>
      </c>
      <c r="E18" s="252">
        <f>+Data2_PL!K20</f>
        <v>51.511911954000041</v>
      </c>
      <c r="F18" s="253">
        <f>+Data2_PL!L20</f>
        <v>338.1437988480003</v>
      </c>
      <c r="G18" s="252">
        <f>+Data2_PL!M20</f>
        <v>39.500143155000032</v>
      </c>
      <c r="H18" s="252">
        <f>+Data2_PL!N20</f>
        <v>45.520253828000044</v>
      </c>
      <c r="I18" s="252">
        <f>+Data2_PL!O20</f>
        <v>95.11473541400008</v>
      </c>
      <c r="J18" s="252">
        <f>+Data2_PL!P20</f>
        <v>17.60358670100004</v>
      </c>
      <c r="K18" s="253">
        <f>+Data2_PL!Q20</f>
        <v>197.73871909800019</v>
      </c>
      <c r="L18" s="252">
        <f>+Data2_PL!R20</f>
        <v>134.20069327800013</v>
      </c>
      <c r="M18" s="252">
        <f>+Data2_PL!S20</f>
        <v>135.74990353500013</v>
      </c>
      <c r="N18" s="252">
        <f>+Data2_PL!T20</f>
        <v>75.92429836900007</v>
      </c>
      <c r="O18" s="252">
        <f>+Data2_PL!U20</f>
        <v>-8.0655654680000453</v>
      </c>
      <c r="P18" s="253">
        <f>+Data2_PL!V20</f>
        <v>337.80932971400028</v>
      </c>
      <c r="Q18" s="252">
        <f>+Data2_PL!W20</f>
        <v>123.0917177780001</v>
      </c>
    </row>
    <row r="19" spans="1:17" s="6" customFormat="1" ht="12.75">
      <c r="A19" s="255" t="str">
        <f>IF(VLOOKUP($P$1,Sheet1!$B$2:$C$4,2,FALSE)=1,Data2_PL!A21,Data2_PL!B21)</f>
        <v>Other comprehensive income</v>
      </c>
      <c r="B19" s="248">
        <f>+Data2_PL!H21</f>
        <v>21.021594405000016</v>
      </c>
      <c r="C19" s="248">
        <f>+Data2_PL!I21</f>
        <v>25.597372244000013</v>
      </c>
      <c r="D19" s="248">
        <f>+Data2_PL!J21</f>
        <v>70.797352108000055</v>
      </c>
      <c r="E19" s="248">
        <f>+Data2_PL!K21</f>
        <v>-99.68730091900008</v>
      </c>
      <c r="F19" s="249">
        <f>+Data2_PL!L21</f>
        <v>17.729017838000004</v>
      </c>
      <c r="G19" s="248">
        <f>+Data2_PL!M21</f>
        <v>71.750873629000068</v>
      </c>
      <c r="H19" s="248">
        <f>+Data2_PL!N21</f>
        <v>-10.198547917000013</v>
      </c>
      <c r="I19" s="248">
        <f>+Data2_PL!O21</f>
        <v>-20.177017546000016</v>
      </c>
      <c r="J19" s="248">
        <f>+Data2_PL!P21</f>
        <v>-124.56270777500012</v>
      </c>
      <c r="K19" s="249">
        <f>+Data2_PL!Q21</f>
        <v>-83.187399609000082</v>
      </c>
      <c r="L19" s="248">
        <f>+Data2_PL!R21</f>
        <v>68.050247986000045</v>
      </c>
      <c r="M19" s="248">
        <f>+Data2_PL!S21</f>
        <v>7.4795485319999955</v>
      </c>
      <c r="N19" s="248">
        <f>+Data2_PL!T21</f>
        <v>79.818265690000061</v>
      </c>
      <c r="O19" s="248">
        <f>+Data2_PL!U21</f>
        <v>-0.56248252200009574</v>
      </c>
      <c r="P19" s="249">
        <f>+Data2_PL!V21</f>
        <v>154.78557968600001</v>
      </c>
      <c r="Q19" s="248">
        <f>+Data2_PL!W21</f>
        <v>40.779033890000036</v>
      </c>
    </row>
    <row r="20" spans="1:17" s="6" customFormat="1" ht="12.75">
      <c r="A20" s="255" t="str">
        <f>IF(VLOOKUP($P$1,Sheet1!$B$2:$C$4,2,FALSE)=1,Data2_PL!A22,Data2_PL!B22)</f>
        <v>Total comprehensive income for the year</v>
      </c>
      <c r="B20" s="248">
        <f>+Data2_PL!H22</f>
        <v>117.23164419700011</v>
      </c>
      <c r="C20" s="248">
        <f>+Data2_PL!I22</f>
        <v>117.5691908230001</v>
      </c>
      <c r="D20" s="248">
        <f>+Data2_PL!J22</f>
        <v>169.24737063100014</v>
      </c>
      <c r="E20" s="248">
        <f>+Data2_PL!K22</f>
        <v>-48.175388965000025</v>
      </c>
      <c r="F20" s="249">
        <f>+Data2_PL!L22</f>
        <v>355.87281668600031</v>
      </c>
      <c r="G20" s="248">
        <f>+Data2_PL!M22</f>
        <v>111.2510167840001</v>
      </c>
      <c r="H20" s="248">
        <f>+Data2_PL!N22</f>
        <v>35.321705911000031</v>
      </c>
      <c r="I20" s="248">
        <f>+Data2_PL!O22</f>
        <v>74.937717868000064</v>
      </c>
      <c r="J20" s="248">
        <f>+Data2_PL!P22</f>
        <v>-106.95912107400009</v>
      </c>
      <c r="K20" s="249">
        <f>+Data2_PL!Q22</f>
        <v>114.55131948900011</v>
      </c>
      <c r="L20" s="248">
        <f>+Data2_PL!R22</f>
        <v>202.25094126400018</v>
      </c>
      <c r="M20" s="248">
        <f>+Data2_PL!S22</f>
        <v>143.22945206700012</v>
      </c>
      <c r="N20" s="248">
        <f>+Data2_PL!T22</f>
        <v>155.74256405900013</v>
      </c>
      <c r="O20" s="248">
        <f>+Data2_PL!U22</f>
        <v>-8.6280479899999705</v>
      </c>
      <c r="P20" s="249">
        <f>+Data2_PL!V22</f>
        <v>492.59490940000046</v>
      </c>
      <c r="Q20" s="248">
        <f>+Data2_PL!W22</f>
        <v>163.87075166800014</v>
      </c>
    </row>
    <row r="21" spans="1:17" s="6" customFormat="1" ht="24" customHeight="1">
      <c r="A21" s="430" t="str">
        <f>IF(VLOOKUP($P$1,Sheet1!$B$2:$C$4,2,FALSE)=1,Data2_PL!A23,Data2_PL!B23)</f>
        <v>Profit attributable to Owners of the Controlling Company</v>
      </c>
      <c r="B21" s="256">
        <f>+Data2_PL!H23</f>
        <v>70.278367767000063</v>
      </c>
      <c r="C21" s="256">
        <f>+Data2_PL!I23</f>
        <v>68.474641893000054</v>
      </c>
      <c r="D21" s="256">
        <f>+Data2_PL!J23</f>
        <v>80.541457942000065</v>
      </c>
      <c r="E21" s="256">
        <f>+Data2_PL!K23</f>
        <v>47.484256386000041</v>
      </c>
      <c r="F21" s="257">
        <f>+Data2_PL!L23</f>
        <v>266.77872398800025</v>
      </c>
      <c r="G21" s="256">
        <f>+Data2_PL!M23</f>
        <v>33.61336405400003</v>
      </c>
      <c r="H21" s="256">
        <f>+Data2_PL!N23</f>
        <v>39.917923933000033</v>
      </c>
      <c r="I21" s="256">
        <f>+Data2_PL!O23</f>
        <v>59.602374432000055</v>
      </c>
      <c r="J21" s="256">
        <f>+Data2_PL!P23</f>
        <v>5.8959407099999908</v>
      </c>
      <c r="K21" s="257">
        <f>+Data2_PL!Q23</f>
        <v>139.02960312900012</v>
      </c>
      <c r="L21" s="256">
        <f>+Data2_PL!R23</f>
        <v>84.985186138000074</v>
      </c>
      <c r="M21" s="256">
        <f>+Data2_PL!S23</f>
        <v>90.448234986000074</v>
      </c>
      <c r="N21" s="256">
        <f>+Data2_PL!T23</f>
        <v>53.851087932000048</v>
      </c>
      <c r="O21" s="256">
        <f>+Data2_PL!U23</f>
        <v>5.947445363000007</v>
      </c>
      <c r="P21" s="257">
        <f>+Data2_PL!V23</f>
        <v>235.2319544190002</v>
      </c>
      <c r="Q21" s="256">
        <f>+Data2_PL!W23</f>
        <v>76.015035705000074</v>
      </c>
    </row>
    <row r="22" spans="1:17" s="6" customFormat="1" ht="18" customHeight="1" thickBot="1">
      <c r="A22" s="258" t="str">
        <f>IF(VLOOKUP($P$1,Sheet1!$B$2:$C$4,2,FALSE)=1,Data2_PL!A24,Data2_PL!B24)</f>
        <v>Earnings per share (KRW)</v>
      </c>
      <c r="B22" s="259">
        <f>+Data2_PL!H24</f>
        <v>1150</v>
      </c>
      <c r="C22" s="259">
        <f>+Data2_PL!I24</f>
        <v>1120</v>
      </c>
      <c r="D22" s="259">
        <f>+Data2_PL!J24</f>
        <v>1318</v>
      </c>
      <c r="E22" s="260">
        <f>+Data2_PL!K24</f>
        <v>794</v>
      </c>
      <c r="F22" s="261">
        <f>+Data2_PL!L24</f>
        <v>4382</v>
      </c>
      <c r="G22" s="259">
        <f>+Data2_PL!M24</f>
        <v>555</v>
      </c>
      <c r="H22" s="259">
        <f>+Data2_PL!N24</f>
        <v>659</v>
      </c>
      <c r="I22" s="259">
        <f>+Data2_PL!O24</f>
        <v>991</v>
      </c>
      <c r="J22" s="260">
        <f>+Data2_PL!P24</f>
        <v>101</v>
      </c>
      <c r="K22" s="261">
        <f>+Data2_PL!Q24</f>
        <v>2306</v>
      </c>
      <c r="L22" s="259">
        <f>+Data2_PL!R24</f>
        <v>1414</v>
      </c>
      <c r="M22" s="259">
        <f>+Data2_PL!S24</f>
        <v>1505</v>
      </c>
      <c r="N22" s="259">
        <f>+Data2_PL!T24</f>
        <v>896</v>
      </c>
      <c r="O22" s="260">
        <f>+Data2_PL!U24</f>
        <v>99</v>
      </c>
      <c r="P22" s="261">
        <f>+Data2_PL!V24</f>
        <v>3914</v>
      </c>
      <c r="Q22" s="259">
        <f>+Data2_PL!W24</f>
        <v>1265</v>
      </c>
    </row>
    <row r="23" spans="1:17" s="6" customFormat="1" ht="6" customHeight="1">
      <c r="A23" s="271"/>
      <c r="B23" s="272"/>
      <c r="C23" s="272"/>
      <c r="D23" s="272"/>
      <c r="E23" s="273"/>
      <c r="F23" s="274"/>
      <c r="G23" s="272"/>
      <c r="H23" s="272"/>
      <c r="I23" s="82"/>
      <c r="J23" s="273"/>
      <c r="K23" s="274"/>
      <c r="L23" s="272"/>
      <c r="M23" s="272"/>
      <c r="N23" s="272"/>
      <c r="O23" s="273"/>
      <c r="P23" s="274"/>
      <c r="Q23" s="272"/>
    </row>
    <row r="24" spans="1:17" ht="12" customHeight="1" thickBot="1">
      <c r="A24" s="66" t="s">
        <v>713</v>
      </c>
      <c r="B24" s="162"/>
      <c r="C24" s="162"/>
      <c r="D24" s="162"/>
      <c r="E24" s="162"/>
      <c r="F24" s="162"/>
      <c r="G24" s="162"/>
      <c r="H24" s="162"/>
      <c r="I24" s="162"/>
      <c r="J24" s="162"/>
      <c r="K24" s="162"/>
      <c r="L24" s="162"/>
      <c r="M24" s="162"/>
      <c r="N24" s="162"/>
      <c r="O24" s="3"/>
      <c r="P24" s="3"/>
      <c r="Q24" s="3"/>
    </row>
    <row r="25" spans="1:17" s="2" customFormat="1" ht="12">
      <c r="A25" s="264" t="str">
        <f>IF(VLOOKUP($P$1,Sheet1!$B$2:$C$4,2,FALSE)=1,Data2_PL!A30,Data2_PL!B30)</f>
        <v>Gross margin (%)</v>
      </c>
      <c r="B25" s="349">
        <f>+Data2_PL!H30</f>
        <v>50.051617207943579</v>
      </c>
      <c r="C25" s="349">
        <f>+Data2_PL!I30</f>
        <v>52.120932189283053</v>
      </c>
      <c r="D25" s="349">
        <f>+Data2_PL!J30</f>
        <v>48.140843029906172</v>
      </c>
      <c r="E25" s="349">
        <f>+Data2_PL!K30</f>
        <v>49.979477521517317</v>
      </c>
      <c r="F25" s="350">
        <f>+Data2_PL!L30</f>
        <v>50.130310956182896</v>
      </c>
      <c r="G25" s="349">
        <f>+Data2_PL!M30</f>
        <v>48.322414552017726</v>
      </c>
      <c r="H25" s="351">
        <f>+Data2_PL!N30</f>
        <v>52.250152205474564</v>
      </c>
      <c r="I25" s="349">
        <f>+Data2_PL!O30</f>
        <v>48.64928794653305</v>
      </c>
      <c r="J25" s="349">
        <f>+Data2_PL!P30</f>
        <v>48.972692817791376</v>
      </c>
      <c r="K25" s="350">
        <f>+Data2_PL!Q30</f>
        <v>49.368400312092419</v>
      </c>
      <c r="L25" s="349">
        <f>+Data2_PL!R30</f>
        <v>50.445261060549171</v>
      </c>
      <c r="M25" s="351">
        <f>+Data2_PL!S30</f>
        <v>51.250756264040497</v>
      </c>
      <c r="N25" s="349">
        <f>+Data2_PL!T30</f>
        <v>48.881660265183378</v>
      </c>
      <c r="O25" s="349">
        <f>+Data2_PL!U30</f>
        <v>47.263729617104367</v>
      </c>
      <c r="P25" s="350">
        <f>+Data2_PL!V30</f>
        <v>49.559054003638309</v>
      </c>
      <c r="Q25" s="349">
        <f>+Data2_PL!W30</f>
        <v>49.362848342142925</v>
      </c>
    </row>
    <row r="26" spans="1:17" s="2" customFormat="1" ht="12">
      <c r="A26" s="262" t="str">
        <f>IF(VLOOKUP($P$1,Sheet1!$B$2:$C$4,2,FALSE)=1,Data2_PL!A31,Data2_PL!B31)</f>
        <v>Operating margin (%)</v>
      </c>
      <c r="B26" s="352">
        <f>+Data2_PL!H31</f>
        <v>13.8812935272</v>
      </c>
      <c r="C26" s="352">
        <f>+Data2_PL!I31</f>
        <v>15.101842747907432</v>
      </c>
      <c r="D26" s="352">
        <f>+Data2_PL!J31</f>
        <v>14.403958038628668</v>
      </c>
      <c r="E26" s="352">
        <f>+Data2_PL!K31</f>
        <v>10.774887519329745</v>
      </c>
      <c r="F26" s="353">
        <f>+Data2_PL!L31</f>
        <v>13.641130179671999</v>
      </c>
      <c r="G26" s="352">
        <f>+Data2_PL!M31</f>
        <v>8.5000805827859018</v>
      </c>
      <c r="H26" s="354">
        <f>+Data2_PL!N31</f>
        <v>8.0447633595733183</v>
      </c>
      <c r="I26" s="352">
        <f>+Data2_PL!O31</f>
        <v>16.958494088253534</v>
      </c>
      <c r="J26" s="352">
        <f>+Data2_PL!P31</f>
        <v>8.5468522869576269</v>
      </c>
      <c r="K26" s="353">
        <f>+Data2_PL!Q31</f>
        <v>10.901216001500796</v>
      </c>
      <c r="L26" s="352">
        <f>+Data2_PL!R31</f>
        <v>18.574570644069155</v>
      </c>
      <c r="M26" s="354">
        <f>+Data2_PL!S31</f>
        <v>17.048609663613725</v>
      </c>
      <c r="N26" s="352">
        <f>+Data2_PL!T31</f>
        <v>11.898917107781884</v>
      </c>
      <c r="O26" s="352">
        <f>+Data2_PL!U31</f>
        <v>2.9311086241861699</v>
      </c>
      <c r="P26" s="353">
        <f>+Data2_PL!V31</f>
        <v>12.990419794740978</v>
      </c>
      <c r="Q26" s="475">
        <f>+Data2_PL!W31</f>
        <v>15.72277029230561</v>
      </c>
    </row>
    <row r="27" spans="1:17" s="2" customFormat="1" ht="12">
      <c r="A27" s="262" t="str">
        <f>IF(VLOOKUP($P$1,Sheet1!$B$2:$C$4,2,FALSE)=1,Data2_PL!A32,Data2_PL!B32)</f>
        <v>Net profit margin (%)</v>
      </c>
      <c r="B27" s="352">
        <f>+Data2_PL!H32</f>
        <v>11.528012143523307</v>
      </c>
      <c r="C27" s="352">
        <f>+Data2_PL!I32</f>
        <v>9.5873621159515672</v>
      </c>
      <c r="D27" s="352">
        <f>+Data2_PL!J32</f>
        <v>11.355434151532767</v>
      </c>
      <c r="E27" s="352">
        <f>+Data2_PL!K32</f>
        <v>6.524156158823831</v>
      </c>
      <c r="F27" s="353">
        <f>+Data2_PL!L32</f>
        <v>9.8000721336291932</v>
      </c>
      <c r="G27" s="352">
        <f>+Data2_PL!M32</f>
        <v>5.00064518981665</v>
      </c>
      <c r="H27" s="354">
        <f>+Data2_PL!N32</f>
        <v>7.283109203375604</v>
      </c>
      <c r="I27" s="352">
        <f>+Data2_PL!O32</f>
        <v>10.367505281263453</v>
      </c>
      <c r="J27" s="352">
        <f>+Data2_PL!P32</f>
        <v>2.2102220233981438</v>
      </c>
      <c r="K27" s="353">
        <f>+Data2_PL!Q32</f>
        <v>6.3199421249238341</v>
      </c>
      <c r="L27" s="352">
        <f>+Data2_PL!R32</f>
        <v>13.579204269064569</v>
      </c>
      <c r="M27" s="354">
        <f>+Data2_PL!S32</f>
        <v>13.3172485839331</v>
      </c>
      <c r="N27" s="352">
        <f>+Data2_PL!T32</f>
        <v>8.1897469565933889</v>
      </c>
      <c r="O27" s="352">
        <f>+Data2_PL!U32</f>
        <v>-0.93866585885334519</v>
      </c>
      <c r="P27" s="353">
        <f>+Data2_PL!V32</f>
        <v>8.9038748645400823</v>
      </c>
      <c r="Q27" s="352">
        <f>+Data2_PL!W32</f>
        <v>11.465721053722419</v>
      </c>
    </row>
    <row r="28" spans="1:17" s="2" customFormat="1" ht="12">
      <c r="A28" s="262" t="str">
        <f>IF(VLOOKUP($P$1,Sheet1!$B$2:$C$4,2,FALSE)=1,Data2_PL!A33,Data2_PL!B33)</f>
        <v>ROA (%)</v>
      </c>
      <c r="B28" s="352">
        <f>+Data2_PL!H33</f>
        <v>6.574256343633758</v>
      </c>
      <c r="C28" s="352">
        <f>+Data2_PL!I33</f>
        <v>6.6677410969740309</v>
      </c>
      <c r="D28" s="352">
        <f>+Data2_PL!J33</f>
        <v>8.0928303163535968</v>
      </c>
      <c r="E28" s="352">
        <f>+Data2_PL!K33</f>
        <v>9.5593911171578068</v>
      </c>
      <c r="F28" s="353">
        <f>+Data2_PL!L33</f>
        <v>9.5593911171578068</v>
      </c>
      <c r="G28" s="352">
        <f>+Data2_PL!M33</f>
        <v>7.230145524412869</v>
      </c>
      <c r="H28" s="354">
        <f>+Data2_PL!N33</f>
        <v>6.0925400494739614</v>
      </c>
      <c r="I28" s="352">
        <f>+Data2_PL!O33</f>
        <v>5.9015541122016613</v>
      </c>
      <c r="J28" s="352">
        <f>+Data2_PL!P33</f>
        <v>5.2529380061964783</v>
      </c>
      <c r="K28" s="353">
        <f>+Data2_PL!Q33</f>
        <v>5.2529380061964774</v>
      </c>
      <c r="L28" s="352">
        <f>+Data2_PL!R33</f>
        <v>7.2045227959949223</v>
      </c>
      <c r="M28" s="354">
        <f>+Data2_PL!S33</f>
        <v>9.527576516389594</v>
      </c>
      <c r="N28" s="352">
        <f>+Data2_PL!T33</f>
        <v>8.8482441757532442</v>
      </c>
      <c r="O28" s="352">
        <f>+Data2_PL!U33</f>
        <v>8.3955963111699319</v>
      </c>
      <c r="P28" s="353">
        <f>+Data2_PL!V33</f>
        <v>8.3955963111699319</v>
      </c>
      <c r="Q28" s="352">
        <f>+Data2_PL!W33</f>
        <v>7.6153436461032005</v>
      </c>
    </row>
    <row r="29" spans="1:17" s="2" customFormat="1" ht="12">
      <c r="A29" s="262" t="str">
        <f>IF(VLOOKUP($P$1,Sheet1!$B$2:$C$4,2,FALSE)=1,Data2_PL!A34,Data2_PL!B34)</f>
        <v>ROE (%)</v>
      </c>
      <c r="B29" s="352">
        <f>+Data2_PL!H34</f>
        <v>15.581488614954209</v>
      </c>
      <c r="C29" s="352">
        <f>+Data2_PL!I34</f>
        <v>14.95062074489125</v>
      </c>
      <c r="D29" s="352">
        <f>+Data2_PL!J34</f>
        <v>17.288005925305583</v>
      </c>
      <c r="E29" s="352">
        <f>+Data2_PL!K34</f>
        <v>20.447479322772399</v>
      </c>
      <c r="F29" s="353">
        <f>+Data2_PL!L34</f>
        <v>20.447479322772399</v>
      </c>
      <c r="G29" s="352">
        <f>+Data2_PL!M34</f>
        <v>16.16993446829002</v>
      </c>
      <c r="H29" s="354">
        <f>+Data2_PL!N34</f>
        <v>13.001139160332647</v>
      </c>
      <c r="I29" s="352">
        <f>+Data2_PL!O34</f>
        <v>12.055646647984609</v>
      </c>
      <c r="J29" s="352">
        <f>+Data2_PL!P34</f>
        <v>10.8105001590072</v>
      </c>
      <c r="K29" s="353">
        <f>+Data2_PL!Q34</f>
        <v>10.8105001590072</v>
      </c>
      <c r="L29" s="352">
        <f>+Data2_PL!R34</f>
        <v>14.936505987429133</v>
      </c>
      <c r="M29" s="354">
        <f>+Data2_PL!S34</f>
        <v>18.589932490287925</v>
      </c>
      <c r="N29" s="352">
        <f>+Data2_PL!T34</f>
        <v>16.756610277820755</v>
      </c>
      <c r="O29" s="352">
        <f>+Data2_PL!U34</f>
        <v>16.225944905849154</v>
      </c>
      <c r="P29" s="353">
        <f>+Data2_PL!V34</f>
        <v>16.225944905849151</v>
      </c>
      <c r="Q29" s="352">
        <f>+Data2_PL!W34</f>
        <v>14.827326121666712</v>
      </c>
    </row>
    <row r="30" spans="1:17" s="2" customFormat="1" ht="12">
      <c r="A30" s="262" t="str">
        <f>IF(VLOOKUP($P$1,Sheet1!$B$2:$C$4,2,FALSE)=1,Data2_PL!A35,Data2_PL!B35)</f>
        <v>EBITDA (KRW bn)</v>
      </c>
      <c r="B30" s="355">
        <f>+Data2_PL!H35</f>
        <v>137.7115419780001</v>
      </c>
      <c r="C30" s="355">
        <f>+Data2_PL!I35</f>
        <v>168.62748726300012</v>
      </c>
      <c r="D30" s="355">
        <f>+Data2_PL!J35</f>
        <v>148.47968427100011</v>
      </c>
      <c r="E30" s="355">
        <f>+Data2_PL!K35</f>
        <v>109.1920031340001</v>
      </c>
      <c r="F30" s="356">
        <f>+Data2_PL!L35</f>
        <v>564.01071664600045</v>
      </c>
      <c r="G30" s="355">
        <f>+Data2_PL!M35</f>
        <v>91.720914075000053</v>
      </c>
      <c r="H30" s="357">
        <f>+Data2_PL!N35</f>
        <v>74.794363195000045</v>
      </c>
      <c r="I30" s="355">
        <f>+Data2_PL!O35</f>
        <v>182.16967476000016</v>
      </c>
      <c r="J30" s="355">
        <f>+Data2_PL!P35</f>
        <v>92.859418251000037</v>
      </c>
      <c r="K30" s="356">
        <f>+Data2_PL!Q35</f>
        <v>441.54437028100034</v>
      </c>
      <c r="L30" s="355">
        <f>+Data2_PL!R35</f>
        <v>209.51942913600016</v>
      </c>
      <c r="M30" s="357">
        <f>+Data2_PL!S35</f>
        <v>196.95990822800016</v>
      </c>
      <c r="N30" s="355">
        <f>+Data2_PL!T35</f>
        <v>135.7591470270001</v>
      </c>
      <c r="O30" s="355">
        <f>+Data2_PL!U35</f>
        <v>49.836562778000044</v>
      </c>
      <c r="P30" s="356">
        <f>+Data2_PL!V35</f>
        <v>592.07504716900041</v>
      </c>
      <c r="Q30" s="355">
        <f>+Data2_PL!W35</f>
        <v>195.22324544700015</v>
      </c>
    </row>
    <row r="31" spans="1:17" s="2" customFormat="1" ht="12.75" thickBot="1">
      <c r="A31" s="263" t="str">
        <f>IF(VLOOKUP($P$1,Sheet1!$B$2:$C$4,2,FALSE)=1,Data2_PL!A36,Data2_PL!B36)</f>
        <v>Interest coverage ratio (x)</v>
      </c>
      <c r="B31" s="358">
        <f>+Data2_PL!H36</f>
        <v>7.9509674670504982</v>
      </c>
      <c r="C31" s="358">
        <f>+Data2_PL!I36</f>
        <v>10.129423142978313</v>
      </c>
      <c r="D31" s="358">
        <f>+Data2_PL!J36</f>
        <v>9.4986783246038033</v>
      </c>
      <c r="E31" s="358">
        <f>+Data2_PL!K36</f>
        <v>6.0250304820748486</v>
      </c>
      <c r="F31" s="359">
        <f>+Data2_PL!L36</f>
        <v>8.3839954953590201</v>
      </c>
      <c r="G31" s="358">
        <f>+Data2_PL!M36</f>
        <v>6.254528754884972</v>
      </c>
      <c r="H31" s="360">
        <f>+Data2_PL!N36</f>
        <v>4.4959207486626465</v>
      </c>
      <c r="I31" s="358">
        <f>+Data2_PL!O36</f>
        <v>21.190573788320823</v>
      </c>
      <c r="J31" s="358">
        <f>+Data2_PL!P36</f>
        <v>9.5697079933201508</v>
      </c>
      <c r="K31" s="359">
        <f>+Data2_PL!Q36</f>
        <v>9.3769724749730585</v>
      </c>
      <c r="L31" s="358">
        <f>+Data2_PL!R36</f>
        <v>23.158642610405384</v>
      </c>
      <c r="M31" s="360">
        <f>+Data2_PL!S36</f>
        <v>28.14972566787814</v>
      </c>
      <c r="N31" s="358">
        <f>+Data2_PL!T36</f>
        <v>25.346050473715991</v>
      </c>
      <c r="O31" s="358">
        <f>+Data2_PL!U36</f>
        <v>5.5386463167904303</v>
      </c>
      <c r="P31" s="359">
        <f>+Data2_PL!V36</f>
        <v>21.428614778148614</v>
      </c>
      <c r="Q31" s="358">
        <f>+Data2_PL!W36</f>
        <v>38.351100248178007</v>
      </c>
    </row>
    <row r="32" spans="1:17" ht="12.75">
      <c r="A32" s="80" t="str">
        <f>IF(VLOOKUP($P$1,Sheet1!$B$2:$C$4,2,FALSE)=1,Data2_PL!A40,Data2_PL!B40)</f>
        <v>Financial Year ends Dec. 31</v>
      </c>
      <c r="B32" s="82"/>
      <c r="C32" s="82"/>
      <c r="D32" s="82"/>
      <c r="E32" s="82"/>
      <c r="F32" s="82"/>
      <c r="G32" s="82"/>
      <c r="H32" s="82"/>
      <c r="I32" s="82"/>
      <c r="J32" s="82"/>
      <c r="K32" s="82"/>
      <c r="L32" s="82"/>
      <c r="M32" s="82"/>
      <c r="N32" s="82"/>
      <c r="O32" s="3"/>
      <c r="P32" s="3"/>
      <c r="Q32" s="3"/>
    </row>
    <row r="33" spans="1:17" ht="12.75">
      <c r="A33" s="80"/>
      <c r="B33" s="82"/>
      <c r="C33" s="82"/>
      <c r="D33" s="82"/>
      <c r="E33" s="82"/>
      <c r="F33" s="82"/>
      <c r="G33" s="82"/>
      <c r="H33" s="82"/>
      <c r="I33" s="82"/>
      <c r="J33" s="82"/>
      <c r="K33" s="82"/>
      <c r="L33" s="82"/>
      <c r="M33" s="82"/>
      <c r="N33" s="82"/>
      <c r="O33" s="3"/>
      <c r="P33" s="3"/>
      <c r="Q33" s="3"/>
    </row>
    <row r="34" spans="1:17" ht="12.75">
      <c r="A34" s="265" t="str">
        <f>IF(VLOOKUP($P$1,Sheet1!$B$2:$C$4,2,FALSE)=1,Data2_PL!A42,Data2_PL!B42)</f>
        <v>Note:</v>
      </c>
      <c r="B34" s="240"/>
      <c r="C34" s="240"/>
      <c r="D34" s="240"/>
      <c r="E34" s="240"/>
      <c r="F34" s="240"/>
      <c r="G34" s="240"/>
      <c r="H34" s="240"/>
      <c r="I34" s="240"/>
      <c r="J34" s="240"/>
      <c r="K34" s="240"/>
      <c r="L34" s="240"/>
      <c r="M34" s="240"/>
      <c r="N34" s="240"/>
      <c r="O34" s="240"/>
      <c r="P34" s="240"/>
      <c r="Q34" s="240"/>
    </row>
    <row r="35" spans="1:17" ht="12.75">
      <c r="A35" s="266" t="str">
        <f>IF(VLOOKUP($P$1,Sheet1!$B$2:$C$4,2,FALSE)=1,Data2_PL!A43,Data2_PL!B43)</f>
        <v>ROA: Profit for the year / avg. total assets</v>
      </c>
      <c r="B35" s="422"/>
      <c r="C35" s="422"/>
      <c r="D35" s="422"/>
      <c r="E35" s="422"/>
      <c r="F35" s="422"/>
      <c r="G35" s="422"/>
      <c r="H35" s="422"/>
      <c r="I35" s="422"/>
      <c r="J35" s="422"/>
      <c r="K35" s="422"/>
      <c r="L35" s="422"/>
      <c r="M35" s="422"/>
      <c r="N35" s="422"/>
      <c r="O35" s="422"/>
      <c r="P35" s="422"/>
      <c r="Q35" s="240"/>
    </row>
    <row r="36" spans="1:17" ht="12.75">
      <c r="A36" s="266" t="str">
        <f>IF(VLOOKUP($P$1,Sheet1!$B$2:$C$4,2,FALSE)=1,Data2_PL!A44,Data2_PL!B44)</f>
        <v>ROE: Profit for the year / avg. total equity</v>
      </c>
      <c r="B36" s="422"/>
      <c r="C36" s="422"/>
      <c r="D36" s="422"/>
      <c r="E36" s="422"/>
      <c r="F36" s="422"/>
      <c r="G36" s="422"/>
      <c r="H36" s="422"/>
      <c r="I36" s="422"/>
      <c r="J36" s="422"/>
      <c r="K36" s="422"/>
      <c r="L36" s="422"/>
      <c r="M36" s="422"/>
      <c r="N36" s="422"/>
      <c r="O36" s="422"/>
      <c r="P36" s="422"/>
      <c r="Q36" s="240"/>
    </row>
    <row r="37" spans="1:17" ht="12.75">
      <c r="A37" s="266" t="str">
        <f>IF(VLOOKUP($P$1,Sheet1!$B$2:$C$4,2,FALSE)=1,Data2_PL!A45,Data2_PL!B45)</f>
        <v>EBITDA: Operating profit + Depreciation</v>
      </c>
      <c r="B37" s="422"/>
      <c r="C37" s="422"/>
      <c r="D37" s="422"/>
      <c r="E37" s="422"/>
      <c r="F37" s="422"/>
      <c r="G37" s="422"/>
      <c r="H37" s="422"/>
      <c r="I37" s="422"/>
      <c r="J37" s="422"/>
      <c r="K37" s="422"/>
      <c r="L37" s="422"/>
      <c r="M37" s="422"/>
      <c r="N37" s="422"/>
      <c r="O37" s="422"/>
      <c r="P37" s="422"/>
      <c r="Q37" s="240"/>
    </row>
    <row r="38" spans="1:17" ht="12.75">
      <c r="A38" s="266" t="str">
        <f>IF(VLOOKUP($P$1,Sheet1!$B$2:$C$4,2,FALSE)=1,Data2_PL!A46,Data2_PL!B46)</f>
        <v>Interest coverage ratio: operating profit / Interest expenses</v>
      </c>
      <c r="B38" s="240"/>
      <c r="C38" s="240"/>
      <c r="D38" s="240"/>
      <c r="E38" s="240"/>
      <c r="F38" s="240"/>
      <c r="G38" s="240"/>
      <c r="H38" s="240"/>
      <c r="I38" s="240"/>
      <c r="J38" s="240"/>
      <c r="K38" s="240"/>
      <c r="L38" s="240"/>
      <c r="M38" s="240"/>
      <c r="N38" s="240"/>
      <c r="O38" s="240"/>
      <c r="P38" s="240"/>
      <c r="Q38" s="240"/>
    </row>
    <row r="39" spans="1:17" ht="12.75">
      <c r="A39" s="266"/>
      <c r="B39" s="240"/>
      <c r="C39" s="240"/>
      <c r="D39" s="240"/>
      <c r="E39" s="240"/>
      <c r="F39" s="240"/>
      <c r="G39" s="240"/>
      <c r="H39" s="240"/>
      <c r="I39" s="240"/>
      <c r="J39" s="240"/>
      <c r="K39" s="240"/>
      <c r="L39" s="240"/>
      <c r="M39" s="240"/>
      <c r="N39" s="240"/>
      <c r="O39" s="240"/>
      <c r="P39" s="240"/>
      <c r="Q39" s="240"/>
    </row>
    <row r="40" spans="1:17" ht="12.75">
      <c r="A40" s="266" t="str">
        <f>IF(VLOOKUP($P$1,Sheet1!$B$2:$C$4,2,FALSE)=1,Data2_PL!A50,Data2_PL!B50)</f>
        <v>FY16 Nov. Acushnet was listed on NYSE and FILA began recognizing Acushnet on consolidated financial statements</v>
      </c>
      <c r="B40" s="240"/>
      <c r="C40" s="240"/>
      <c r="D40" s="240"/>
      <c r="E40" s="240"/>
      <c r="F40" s="240"/>
      <c r="G40" s="240"/>
      <c r="H40" s="240"/>
      <c r="I40" s="240"/>
      <c r="J40" s="240"/>
      <c r="K40" s="240"/>
      <c r="L40" s="240"/>
      <c r="M40" s="240"/>
      <c r="N40" s="240"/>
      <c r="O40" s="240"/>
      <c r="P40" s="240"/>
      <c r="Q40" s="240"/>
    </row>
    <row r="41" spans="1:17" ht="12.75">
      <c r="A41" s="266" t="str">
        <f>IF(VLOOKUP($P$1,Sheet1!$B$2:$C$4,2,FALSE)=1,Data2_PL!A51,Data2_PL!B51)</f>
        <v>FY18 May. 5-for-1 stock split</v>
      </c>
      <c r="B41" s="240"/>
      <c r="C41" s="240"/>
      <c r="D41" s="240"/>
      <c r="E41" s="240"/>
      <c r="F41" s="240"/>
      <c r="G41" s="240"/>
      <c r="H41" s="240"/>
      <c r="I41" s="240"/>
      <c r="J41" s="240"/>
      <c r="K41" s="240"/>
      <c r="L41" s="240"/>
      <c r="M41" s="240"/>
      <c r="N41" s="240"/>
      <c r="O41" s="240"/>
      <c r="P41" s="240"/>
      <c r="Q41" s="240"/>
    </row>
    <row r="42" spans="1:17" ht="12.75">
      <c r="A42" s="267" t="str">
        <f>IF(VLOOKUP($P$1,Sheet1!$B$2:$C$4,2,FALSE)=1,Data2_PL!A52,Data2_PL!B52)</f>
        <v>FY20 Jan. FILA Korea Ltd. changed its name to FILA Holdings Corp., and established a new subsidiary, FILA Korea, via a vertical demerger</v>
      </c>
      <c r="B42" s="240"/>
      <c r="C42" s="240"/>
      <c r="D42" s="240"/>
      <c r="E42" s="240"/>
      <c r="F42" s="240"/>
      <c r="G42" s="240"/>
      <c r="H42" s="240"/>
      <c r="I42" s="240"/>
      <c r="J42" s="240"/>
      <c r="K42" s="240"/>
      <c r="L42" s="240"/>
      <c r="M42" s="240"/>
      <c r="N42" s="240"/>
      <c r="O42" s="240"/>
      <c r="P42" s="240"/>
      <c r="Q42" s="240"/>
    </row>
    <row r="43" spans="1:17" ht="12.75">
      <c r="A43" s="268"/>
    </row>
  </sheetData>
  <mergeCells count="1">
    <mergeCell ref="P1:Q1"/>
  </mergeCells>
  <phoneticPr fontId="3" type="noConversion"/>
  <dataValidations count="1">
    <dataValidation type="list" allowBlank="1" showInputMessage="1" showErrorMessage="1" sqref="P1" xr:uid="{00000000-0002-0000-0200-000000000000}">
      <formula1>언어_Language</formula1>
    </dataValidation>
  </dataValidations>
  <pageMargins left="0.7" right="0.7" top="0.75" bottom="0.75" header="0.3" footer="0.3"/>
  <pageSetup paperSize="9" scale="79" fitToHeight="0" orientation="portrait" r:id="rId1"/>
  <headerFoot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1837"/>
    <pageSetUpPr fitToPage="1"/>
  </sheetPr>
  <dimension ref="A1:Y109"/>
  <sheetViews>
    <sheetView tabSelected="1" view="pageBreakPreview" zoomScale="115" zoomScaleNormal="100" zoomScaleSheetLayoutView="115" zoomScalePageLayoutView="70" workbookViewId="0">
      <pane xSplit="1" ySplit="4" topLeftCell="B41" activePane="bottomRight" state="frozen"/>
      <selection pane="topRight" activeCell="B1" sqref="B1"/>
      <selection pane="bottomLeft" activeCell="A5" sqref="A5"/>
      <selection pane="bottomRight" activeCell="P42" sqref="P42"/>
    </sheetView>
  </sheetViews>
  <sheetFormatPr defaultRowHeight="16.5"/>
  <cols>
    <col min="1" max="1" width="16.375" style="270" customWidth="1"/>
    <col min="2" max="18" width="6.75" style="280" customWidth="1"/>
    <col min="19" max="19" width="7.75" style="280" customWidth="1"/>
  </cols>
  <sheetData>
    <row r="1" spans="1:21" ht="18">
      <c r="A1" s="65" t="s">
        <v>86</v>
      </c>
      <c r="B1" s="277"/>
      <c r="C1" s="277"/>
      <c r="D1" s="277"/>
      <c r="E1" s="277"/>
      <c r="F1" s="277"/>
      <c r="G1" s="277"/>
      <c r="H1" s="277"/>
      <c r="I1" s="277"/>
      <c r="J1" s="277"/>
      <c r="K1" s="277"/>
      <c r="L1" s="277"/>
      <c r="M1" s="277"/>
      <c r="N1" s="277"/>
      <c r="O1" s="277"/>
      <c r="P1" s="277"/>
      <c r="Q1" s="277"/>
      <c r="R1" s="277"/>
      <c r="S1" s="277"/>
    </row>
    <row r="2" spans="1:21">
      <c r="A2" s="66" t="s">
        <v>3</v>
      </c>
      <c r="B2" s="277"/>
      <c r="C2" s="277"/>
      <c r="D2" s="277"/>
      <c r="E2" s="277"/>
      <c r="F2" s="277"/>
      <c r="G2" s="420"/>
      <c r="H2" s="277"/>
      <c r="I2" s="277"/>
      <c r="J2" s="277"/>
      <c r="K2" s="277"/>
      <c r="L2" s="277"/>
      <c r="M2" s="277"/>
      <c r="N2" s="277"/>
      <c r="O2" s="277"/>
      <c r="P2" s="277"/>
      <c r="Q2" s="277"/>
      <c r="R2" s="277"/>
      <c r="S2" s="277"/>
    </row>
    <row r="3" spans="1:21">
      <c r="A3" s="424" t="s">
        <v>476</v>
      </c>
      <c r="B3" s="425"/>
      <c r="C3" s="425"/>
      <c r="D3" s="278"/>
      <c r="E3" s="278"/>
      <c r="F3" s="278"/>
      <c r="G3" s="421"/>
      <c r="H3" s="278"/>
      <c r="I3" s="278"/>
      <c r="J3" s="278"/>
      <c r="K3" s="278"/>
      <c r="L3" s="278"/>
      <c r="M3" s="278"/>
      <c r="N3" s="278"/>
      <c r="O3" s="278"/>
      <c r="P3" s="278"/>
      <c r="Q3" s="278"/>
      <c r="R3" s="278"/>
      <c r="S3" s="278"/>
    </row>
    <row r="4" spans="1:21" s="137" customFormat="1" ht="15.95" customHeight="1">
      <c r="A4" s="414" t="s">
        <v>644</v>
      </c>
      <c r="B4" s="279" t="s">
        <v>451</v>
      </c>
      <c r="C4" s="279" t="s">
        <v>452</v>
      </c>
      <c r="D4" s="279" t="s">
        <v>453</v>
      </c>
      <c r="E4" s="279" t="s">
        <v>454</v>
      </c>
      <c r="F4" s="439" t="s">
        <v>701</v>
      </c>
      <c r="G4" s="279" t="s">
        <v>455</v>
      </c>
      <c r="H4" s="279" t="s">
        <v>456</v>
      </c>
      <c r="I4" s="279" t="s">
        <v>457</v>
      </c>
      <c r="J4" s="279" t="s">
        <v>458</v>
      </c>
      <c r="K4" s="439" t="s">
        <v>706</v>
      </c>
      <c r="L4" s="279" t="s">
        <v>430</v>
      </c>
      <c r="M4" s="279" t="s">
        <v>433</v>
      </c>
      <c r="N4" s="279" t="s">
        <v>434</v>
      </c>
      <c r="O4" s="279" t="s">
        <v>435</v>
      </c>
      <c r="P4" s="439" t="s">
        <v>707</v>
      </c>
      <c r="Q4" s="445" t="s">
        <v>429</v>
      </c>
      <c r="R4" s="279" t="s">
        <v>431</v>
      </c>
      <c r="S4" s="279" t="s">
        <v>432</v>
      </c>
    </row>
    <row r="5" spans="1:21" s="283" customFormat="1" ht="15.95" customHeight="1">
      <c r="A5" s="297" t="s">
        <v>436</v>
      </c>
      <c r="B5" s="298">
        <v>834576.2356440007</v>
      </c>
      <c r="C5" s="298">
        <v>959302.64724200079</v>
      </c>
      <c r="D5" s="298">
        <v>866985.94883500075</v>
      </c>
      <c r="E5" s="298">
        <v>789556.69821500056</v>
      </c>
      <c r="F5" s="443">
        <f>SUM(B5:E5)</f>
        <v>3450421.5299360026</v>
      </c>
      <c r="G5" s="298">
        <v>789900.93589200068</v>
      </c>
      <c r="H5" s="298">
        <v>625011.27687200054</v>
      </c>
      <c r="I5" s="298">
        <v>917431.27043200086</v>
      </c>
      <c r="J5" s="298">
        <v>796462.3696010008</v>
      </c>
      <c r="K5" s="443">
        <f>SUM(G5:J5)</f>
        <v>3128805.8527970025</v>
      </c>
      <c r="L5" s="298">
        <v>988280.98185200093</v>
      </c>
      <c r="M5" s="298">
        <v>1019353.980512001</v>
      </c>
      <c r="N5" s="298">
        <v>927065.25331500091</v>
      </c>
      <c r="O5" s="298">
        <v>859258.42427600094</v>
      </c>
      <c r="P5" s="443">
        <f>SUM(L5:O5)</f>
        <v>3793958.6399550037</v>
      </c>
      <c r="Q5" s="299">
        <v>1073563</v>
      </c>
      <c r="R5" s="300">
        <f>+Q5/L5-1</f>
        <v>8.6293290788803656E-2</v>
      </c>
      <c r="S5" s="300">
        <v>1.7999999999999999E-2</v>
      </c>
    </row>
    <row r="6" spans="1:21" s="283" customFormat="1" ht="15.95" customHeight="1">
      <c r="A6" s="428" t="s">
        <v>475</v>
      </c>
      <c r="B6" s="302">
        <v>346627</v>
      </c>
      <c r="C6" s="302">
        <v>420519</v>
      </c>
      <c r="D6" s="302">
        <v>367676</v>
      </c>
      <c r="E6" s="302">
        <v>355726</v>
      </c>
      <c r="F6" s="440">
        <f t="shared" ref="F6:F15" si="0">SUM(B6:E6)</f>
        <v>1490548</v>
      </c>
      <c r="G6" s="302">
        <v>302028</v>
      </c>
      <c r="H6" s="302">
        <v>257361</v>
      </c>
      <c r="I6" s="302">
        <v>342063</v>
      </c>
      <c r="J6" s="302">
        <v>324914</v>
      </c>
      <c r="K6" s="440">
        <f t="shared" ref="K6:K15" si="1">SUM(G6:J6)</f>
        <v>1226366</v>
      </c>
      <c r="L6" s="302">
        <v>341395</v>
      </c>
      <c r="M6" s="302">
        <v>318843</v>
      </c>
      <c r="N6" s="302">
        <v>321194</v>
      </c>
      <c r="O6" s="302">
        <v>354886</v>
      </c>
      <c r="P6" s="440">
        <f t="shared" ref="P6:P15" si="2">SUM(L6:O6)</f>
        <v>1336318</v>
      </c>
      <c r="Q6" s="303">
        <v>343258</v>
      </c>
      <c r="R6" s="304">
        <f t="shared" ref="R6:R7" si="3">+Q6/L6-1</f>
        <v>5.4570219247498386E-3</v>
      </c>
      <c r="S6" s="304">
        <v>-3.1E-2</v>
      </c>
      <c r="U6" s="429"/>
    </row>
    <row r="7" spans="1:21" s="283" customFormat="1" ht="15.95" customHeight="1">
      <c r="A7" s="301" t="s">
        <v>437</v>
      </c>
      <c r="B7" s="302">
        <v>487949.2356440007</v>
      </c>
      <c r="C7" s="302">
        <v>538783.64724200079</v>
      </c>
      <c r="D7" s="302">
        <v>499309.94883500075</v>
      </c>
      <c r="E7" s="302">
        <v>433830.69821500056</v>
      </c>
      <c r="F7" s="440">
        <f t="shared" si="0"/>
        <v>1959873.5299360028</v>
      </c>
      <c r="G7" s="302">
        <v>487872.93589200068</v>
      </c>
      <c r="H7" s="302">
        <v>367650.27687200054</v>
      </c>
      <c r="I7" s="302">
        <v>575368.27043200086</v>
      </c>
      <c r="J7" s="302">
        <v>471548.3696010008</v>
      </c>
      <c r="K7" s="440">
        <f t="shared" si="1"/>
        <v>1902439.8527970028</v>
      </c>
      <c r="L7" s="302">
        <v>646885.98185200093</v>
      </c>
      <c r="M7" s="302">
        <v>700510.98051200097</v>
      </c>
      <c r="N7" s="302">
        <v>605871.25331500091</v>
      </c>
      <c r="O7" s="302">
        <v>504372.42427600094</v>
      </c>
      <c r="P7" s="440">
        <f t="shared" si="2"/>
        <v>2457640.6399550037</v>
      </c>
      <c r="Q7" s="303">
        <f>+Q5-Q6</f>
        <v>730305</v>
      </c>
      <c r="R7" s="304">
        <f t="shared" si="3"/>
        <v>0.12895474703157861</v>
      </c>
      <c r="S7" s="304">
        <f>+R79</f>
        <v>4.3385523812802917E-2</v>
      </c>
    </row>
    <row r="8" spans="1:21" s="283" customFormat="1" ht="15.95" customHeight="1">
      <c r="A8" s="305" t="s">
        <v>438</v>
      </c>
      <c r="B8" s="302">
        <v>417718.90277300036</v>
      </c>
      <c r="C8" s="302">
        <v>499997.48225900042</v>
      </c>
      <c r="D8" s="302">
        <v>417374.34472000034</v>
      </c>
      <c r="E8" s="302">
        <v>394616.3125040005</v>
      </c>
      <c r="F8" s="440">
        <f t="shared" si="0"/>
        <v>1729707.0422560016</v>
      </c>
      <c r="G8" s="302">
        <v>381699.20479200035</v>
      </c>
      <c r="H8" s="302">
        <v>326569.34346700029</v>
      </c>
      <c r="I8" s="302">
        <v>446323.78046400036</v>
      </c>
      <c r="J8" s="302">
        <v>390049.06967400032</v>
      </c>
      <c r="K8" s="440">
        <f t="shared" si="1"/>
        <v>1544641.3983970014</v>
      </c>
      <c r="L8" s="302">
        <v>498540.92130700039</v>
      </c>
      <c r="M8" s="302">
        <v>522426.6240200004</v>
      </c>
      <c r="N8" s="302">
        <v>453164.88756200037</v>
      </c>
      <c r="O8" s="302">
        <v>406117.57836200052</v>
      </c>
      <c r="P8" s="440">
        <f t="shared" si="2"/>
        <v>1880250.0112510016</v>
      </c>
      <c r="Q8" s="303">
        <v>529941</v>
      </c>
      <c r="R8" s="304">
        <f>+Q8/L8-1</f>
        <v>6.2983954477958459E-2</v>
      </c>
      <c r="S8" s="304">
        <v>-5.3E-3</v>
      </c>
    </row>
    <row r="9" spans="1:21" s="283" customFormat="1" ht="15.95" customHeight="1">
      <c r="A9" s="306" t="s">
        <v>692</v>
      </c>
      <c r="B9" s="307">
        <f t="shared" ref="B9:J9" si="4">+B8/B5</f>
        <v>0.50051617207943577</v>
      </c>
      <c r="C9" s="307">
        <f t="shared" si="4"/>
        <v>0.52120932189283053</v>
      </c>
      <c r="D9" s="307">
        <f t="shared" si="4"/>
        <v>0.48140843029906172</v>
      </c>
      <c r="E9" s="307">
        <f t="shared" si="4"/>
        <v>0.49979477521517313</v>
      </c>
      <c r="F9" s="441">
        <f t="shared" si="4"/>
        <v>0.501303109561829</v>
      </c>
      <c r="G9" s="307">
        <f t="shared" si="4"/>
        <v>0.48322414552017728</v>
      </c>
      <c r="H9" s="307">
        <f t="shared" si="4"/>
        <v>0.52250152205474554</v>
      </c>
      <c r="I9" s="307">
        <f t="shared" si="4"/>
        <v>0.48649287946533043</v>
      </c>
      <c r="J9" s="307">
        <f t="shared" si="4"/>
        <v>0.48972692817791375</v>
      </c>
      <c r="K9" s="441">
        <f t="shared" ref="K9" si="5">+K8/K5</f>
        <v>0.49368400312092425</v>
      </c>
      <c r="L9" s="307">
        <f>+L8/L5</f>
        <v>0.50445261060549162</v>
      </c>
      <c r="M9" s="307">
        <f t="shared" ref="M9:P9" si="6">+M8/M5</f>
        <v>0.51250756264040487</v>
      </c>
      <c r="N9" s="307">
        <f t="shared" si="6"/>
        <v>0.48881660265183369</v>
      </c>
      <c r="O9" s="307">
        <f t="shared" si="6"/>
        <v>0.47263729617104361</v>
      </c>
      <c r="P9" s="441">
        <f t="shared" si="6"/>
        <v>0.49559054003638303</v>
      </c>
      <c r="Q9" s="319">
        <f>+Q8/Q5</f>
        <v>0.49362822675520673</v>
      </c>
      <c r="R9" s="320">
        <v>-0.01</v>
      </c>
      <c r="S9" s="320">
        <v>-1.0999999999999999E-2</v>
      </c>
    </row>
    <row r="10" spans="1:21" s="283" customFormat="1" ht="15.95" customHeight="1">
      <c r="A10" s="305" t="s">
        <v>439</v>
      </c>
      <c r="B10" s="302">
        <f>+B8-B11</f>
        <v>301868.90277300036</v>
      </c>
      <c r="C10" s="302">
        <f t="shared" ref="C10:Q10" si="7">+C8-C11</f>
        <v>355125.48225900042</v>
      </c>
      <c r="D10" s="302">
        <f t="shared" si="7"/>
        <v>292494.34472000034</v>
      </c>
      <c r="E10" s="302">
        <f t="shared" si="7"/>
        <v>309542.3125040005</v>
      </c>
      <c r="F10" s="440">
        <f t="shared" si="0"/>
        <v>1259031.0422560016</v>
      </c>
      <c r="G10" s="302">
        <f t="shared" si="7"/>
        <v>314557.20479200035</v>
      </c>
      <c r="H10" s="302">
        <f t="shared" si="7"/>
        <v>276288.34346700029</v>
      </c>
      <c r="I10" s="302">
        <f t="shared" si="7"/>
        <v>290740.78046400036</v>
      </c>
      <c r="J10" s="302">
        <f t="shared" si="7"/>
        <v>321976.06967400032</v>
      </c>
      <c r="K10" s="440">
        <f t="shared" si="1"/>
        <v>1203562.3983970014</v>
      </c>
      <c r="L10" s="302">
        <f t="shared" si="7"/>
        <v>314971.92130700039</v>
      </c>
      <c r="M10" s="302">
        <f t="shared" si="7"/>
        <v>348640.6240200004</v>
      </c>
      <c r="N10" s="302">
        <f t="shared" si="7"/>
        <v>342854.88756200037</v>
      </c>
      <c r="O10" s="302">
        <f t="shared" si="7"/>
        <v>380932.57836200052</v>
      </c>
      <c r="P10" s="440">
        <f t="shared" si="2"/>
        <v>1387400.0112510016</v>
      </c>
      <c r="Q10" s="303">
        <f t="shared" si="7"/>
        <v>361147</v>
      </c>
      <c r="R10" s="304">
        <f>+Q10/L10-1</f>
        <v>0.14660061919612555</v>
      </c>
      <c r="S10" s="307">
        <v>7.5200000000000003E-2</v>
      </c>
    </row>
    <row r="11" spans="1:21" s="283" customFormat="1" ht="15.95" customHeight="1">
      <c r="A11" s="308" t="s">
        <v>440</v>
      </c>
      <c r="B11" s="309">
        <v>115850</v>
      </c>
      <c r="C11" s="309">
        <v>144872</v>
      </c>
      <c r="D11" s="309">
        <v>124880</v>
      </c>
      <c r="E11" s="309">
        <v>85074</v>
      </c>
      <c r="F11" s="442">
        <f t="shared" si="0"/>
        <v>470676</v>
      </c>
      <c r="G11" s="309">
        <v>67142</v>
      </c>
      <c r="H11" s="309">
        <v>50281</v>
      </c>
      <c r="I11" s="309">
        <v>155583</v>
      </c>
      <c r="J11" s="309">
        <v>68073</v>
      </c>
      <c r="K11" s="442">
        <f t="shared" si="1"/>
        <v>341079</v>
      </c>
      <c r="L11" s="309">
        <v>183569</v>
      </c>
      <c r="M11" s="309">
        <v>173786</v>
      </c>
      <c r="N11" s="309">
        <v>110310</v>
      </c>
      <c r="O11" s="309">
        <v>25185</v>
      </c>
      <c r="P11" s="442">
        <f t="shared" si="2"/>
        <v>492850</v>
      </c>
      <c r="Q11" s="310">
        <v>168794</v>
      </c>
      <c r="R11" s="311">
        <f>+Q11/L11-1</f>
        <v>-8.048744613741976E-2</v>
      </c>
      <c r="S11" s="311">
        <v>-0.14299999999999999</v>
      </c>
    </row>
    <row r="12" spans="1:21" s="283" customFormat="1" ht="15.95" customHeight="1">
      <c r="A12" s="306" t="s">
        <v>693</v>
      </c>
      <c r="B12" s="307">
        <f>+B11/B$5</f>
        <v>0.13881296285725697</v>
      </c>
      <c r="C12" s="307">
        <f t="shared" ref="C12:Q12" si="8">+C11/C$5</f>
        <v>0.1510180342111091</v>
      </c>
      <c r="D12" s="307">
        <f t="shared" si="8"/>
        <v>0.14403924327471007</v>
      </c>
      <c r="E12" s="307">
        <f t="shared" si="8"/>
        <v>0.10774907006973918</v>
      </c>
      <c r="F12" s="441">
        <f t="shared" si="8"/>
        <v>0.1364111590182229</v>
      </c>
      <c r="G12" s="307">
        <f t="shared" si="8"/>
        <v>8.5000532280898572E-2</v>
      </c>
      <c r="H12" s="307">
        <f t="shared" si="8"/>
        <v>8.0448148474443162E-2</v>
      </c>
      <c r="I12" s="307">
        <f t="shared" si="8"/>
        <v>0.16958545562409152</v>
      </c>
      <c r="J12" s="307">
        <f t="shared" si="8"/>
        <v>8.5469198041461955E-2</v>
      </c>
      <c r="K12" s="441">
        <f t="shared" ref="K12" si="9">+K11/K$5</f>
        <v>0.10901251661079953</v>
      </c>
      <c r="L12" s="307">
        <f t="shared" si="8"/>
        <v>0.18574575790783576</v>
      </c>
      <c r="M12" s="307">
        <f t="shared" si="8"/>
        <v>0.17048640935576745</v>
      </c>
      <c r="N12" s="307">
        <f t="shared" si="8"/>
        <v>0.1189883879322986</v>
      </c>
      <c r="O12" s="307">
        <f t="shared" si="8"/>
        <v>2.9310157792424935E-2</v>
      </c>
      <c r="P12" s="441">
        <f t="shared" ref="P12" si="10">+P11/P$5</f>
        <v>0.1299038937350791</v>
      </c>
      <c r="Q12" s="319">
        <f t="shared" si="8"/>
        <v>0.15722784783007612</v>
      </c>
      <c r="R12" s="320">
        <f>+Q12-L12</f>
        <v>-2.8517910077759639E-2</v>
      </c>
      <c r="S12" s="320">
        <v>-2.9000000000000001E-2</v>
      </c>
    </row>
    <row r="13" spans="1:21" s="283" customFormat="1" ht="15.95" customHeight="1">
      <c r="A13" s="428" t="s">
        <v>475</v>
      </c>
      <c r="B13" s="302">
        <v>59215</v>
      </c>
      <c r="C13" s="302">
        <v>76045</v>
      </c>
      <c r="D13" s="302">
        <v>74443</v>
      </c>
      <c r="E13" s="302">
        <v>51646</v>
      </c>
      <c r="F13" s="440">
        <f t="shared" si="0"/>
        <v>261349</v>
      </c>
      <c r="G13" s="302">
        <v>44477</v>
      </c>
      <c r="H13" s="302">
        <v>37903</v>
      </c>
      <c r="I13" s="302">
        <v>58452</v>
      </c>
      <c r="J13" s="302">
        <v>36141</v>
      </c>
      <c r="K13" s="440">
        <f t="shared" si="1"/>
        <v>176973</v>
      </c>
      <c r="L13" s="302">
        <v>52526</v>
      </c>
      <c r="M13" s="302">
        <v>51965</v>
      </c>
      <c r="N13" s="302">
        <v>50026</v>
      </c>
      <c r="O13" s="302">
        <v>46956</v>
      </c>
      <c r="P13" s="440">
        <f t="shared" si="2"/>
        <v>201473</v>
      </c>
      <c r="Q13" s="303">
        <v>46150</v>
      </c>
      <c r="R13" s="304">
        <f t="shared" ref="R13:R14" si="11">+Q13/L13-1</f>
        <v>-0.12138750333168336</v>
      </c>
      <c r="S13" s="304">
        <v>-0.14799999999999999</v>
      </c>
    </row>
    <row r="14" spans="1:21" s="283" customFormat="1" ht="15.95" customHeight="1">
      <c r="A14" s="301" t="s">
        <v>437</v>
      </c>
      <c r="B14" s="302">
        <v>56634.976978000079</v>
      </c>
      <c r="C14" s="302">
        <v>68827.377263000119</v>
      </c>
      <c r="D14" s="302">
        <v>50437.2922710001</v>
      </c>
      <c r="E14" s="302">
        <v>33427.846134000225</v>
      </c>
      <c r="F14" s="440">
        <f t="shared" si="0"/>
        <v>209327.49264600052</v>
      </c>
      <c r="G14" s="302">
        <v>22665.21607500012</v>
      </c>
      <c r="H14" s="302">
        <v>12377.678195000044</v>
      </c>
      <c r="I14" s="302">
        <v>97130.527760000085</v>
      </c>
      <c r="J14" s="302">
        <v>31931.462251000165</v>
      </c>
      <c r="K14" s="440">
        <f t="shared" si="1"/>
        <v>164104.88428100041</v>
      </c>
      <c r="L14" s="302">
        <v>131042.94913600013</v>
      </c>
      <c r="M14" s="302">
        <v>121820.68122800009</v>
      </c>
      <c r="N14" s="302">
        <v>60284.726027000055</v>
      </c>
      <c r="O14" s="302">
        <v>-21770.202221999934</v>
      </c>
      <c r="P14" s="440">
        <f t="shared" si="2"/>
        <v>291378.15416900034</v>
      </c>
      <c r="Q14" s="303">
        <f>+Q11-Q13</f>
        <v>122644</v>
      </c>
      <c r="R14" s="304">
        <f t="shared" si="11"/>
        <v>-6.4093102233859667E-2</v>
      </c>
      <c r="S14" s="304">
        <f>+R82</f>
        <v>-0.12242960297828753</v>
      </c>
    </row>
    <row r="15" spans="1:21" s="283" customFormat="1" ht="15.95" customHeight="1">
      <c r="A15" s="312" t="s">
        <v>441</v>
      </c>
      <c r="B15" s="313">
        <v>96210</v>
      </c>
      <c r="C15" s="313">
        <v>91972</v>
      </c>
      <c r="D15" s="313">
        <v>98450</v>
      </c>
      <c r="E15" s="313">
        <v>51512</v>
      </c>
      <c r="F15" s="444">
        <f t="shared" si="0"/>
        <v>338144</v>
      </c>
      <c r="G15" s="313">
        <v>39500</v>
      </c>
      <c r="H15" s="313">
        <v>45520.252999999997</v>
      </c>
      <c r="I15" s="313">
        <v>95115</v>
      </c>
      <c r="J15" s="313">
        <v>17604</v>
      </c>
      <c r="K15" s="444">
        <f t="shared" si="1"/>
        <v>197739.253</v>
      </c>
      <c r="L15" s="313">
        <v>134200.69327799999</v>
      </c>
      <c r="M15" s="313">
        <v>135749.90353499999</v>
      </c>
      <c r="N15" s="313">
        <v>75924.298369000069</v>
      </c>
      <c r="O15" s="313">
        <v>-8065.5654680000453</v>
      </c>
      <c r="P15" s="444">
        <f t="shared" si="2"/>
        <v>337809.32971399999</v>
      </c>
      <c r="Q15" s="314">
        <v>123091.717</v>
      </c>
      <c r="R15" s="315">
        <f>+Q15/L15-1</f>
        <v>-8.2778829279126498E-2</v>
      </c>
      <c r="S15" s="315">
        <v>-0.1535</v>
      </c>
    </row>
    <row r="16" spans="1:21" ht="11.25" customHeight="1">
      <c r="A16" s="281"/>
      <c r="B16" s="277"/>
      <c r="C16" s="277"/>
      <c r="D16" s="277"/>
      <c r="E16" s="277"/>
      <c r="F16" s="277"/>
      <c r="G16" s="277"/>
      <c r="H16" s="277"/>
      <c r="I16" s="277"/>
      <c r="J16" s="277"/>
      <c r="K16" s="277"/>
      <c r="L16" s="277"/>
      <c r="M16" s="277"/>
      <c r="N16" s="277"/>
      <c r="O16" s="277"/>
      <c r="P16" s="277"/>
      <c r="Q16" s="277"/>
      <c r="R16" s="277"/>
      <c r="S16" s="277"/>
    </row>
    <row r="17" spans="1:23">
      <c r="A17" s="424" t="s">
        <v>442</v>
      </c>
      <c r="B17" s="425"/>
      <c r="C17" s="425"/>
      <c r="D17" s="277"/>
      <c r="E17" s="277"/>
      <c r="F17" s="277"/>
      <c r="G17" s="277"/>
      <c r="H17" s="277"/>
      <c r="I17" s="277"/>
      <c r="J17" s="277"/>
      <c r="K17" s="277"/>
      <c r="L17" s="277"/>
      <c r="M17" s="277"/>
      <c r="N17" s="277"/>
      <c r="O17" s="277"/>
      <c r="P17" s="277"/>
      <c r="Q17" s="277"/>
      <c r="R17" s="277"/>
      <c r="S17" s="277"/>
    </row>
    <row r="18" spans="1:23">
      <c r="A18" s="286" t="s">
        <v>681</v>
      </c>
      <c r="B18" s="277"/>
      <c r="C18" s="277"/>
      <c r="D18" s="277"/>
      <c r="E18" s="277"/>
      <c r="F18" s="277"/>
      <c r="G18" s="277"/>
      <c r="H18" s="277"/>
      <c r="I18" s="277"/>
      <c r="J18" s="277"/>
      <c r="K18" s="277"/>
      <c r="L18" s="277"/>
      <c r="M18" s="277"/>
      <c r="N18" s="277"/>
      <c r="O18" s="277"/>
      <c r="P18" s="277"/>
      <c r="Q18" s="277"/>
      <c r="R18" s="277"/>
      <c r="S18" s="277"/>
    </row>
    <row r="19" spans="1:23" s="137" customFormat="1" ht="15.95" customHeight="1">
      <c r="A19" s="414" t="s">
        <v>644</v>
      </c>
      <c r="B19" s="279" t="s">
        <v>451</v>
      </c>
      <c r="C19" s="279" t="s">
        <v>452</v>
      </c>
      <c r="D19" s="279" t="s">
        <v>453</v>
      </c>
      <c r="E19" s="279" t="s">
        <v>454</v>
      </c>
      <c r="F19" s="439" t="s">
        <v>701</v>
      </c>
      <c r="G19" s="279" t="s">
        <v>455</v>
      </c>
      <c r="H19" s="279" t="s">
        <v>456</v>
      </c>
      <c r="I19" s="279" t="s">
        <v>457</v>
      </c>
      <c r="J19" s="279" t="s">
        <v>458</v>
      </c>
      <c r="K19" s="439" t="s">
        <v>706</v>
      </c>
      <c r="L19" s="279" t="s">
        <v>430</v>
      </c>
      <c r="M19" s="279" t="s">
        <v>433</v>
      </c>
      <c r="N19" s="279" t="s">
        <v>434</v>
      </c>
      <c r="O19" s="279" t="s">
        <v>435</v>
      </c>
      <c r="P19" s="439" t="s">
        <v>707</v>
      </c>
      <c r="Q19" s="445" t="s">
        <v>429</v>
      </c>
      <c r="R19" s="279" t="s">
        <v>431</v>
      </c>
      <c r="S19" s="279" t="s">
        <v>432</v>
      </c>
    </row>
    <row r="20" spans="1:23" s="283" customFormat="1" ht="15.95" customHeight="1">
      <c r="A20" s="297" t="s">
        <v>436</v>
      </c>
      <c r="B20" s="298">
        <f>+B30*B$104/1000</f>
        <v>157528.07619999998</v>
      </c>
      <c r="C20" s="298">
        <f>(SUM(B30:C30)*C$105-B30*B$105)/1000</f>
        <v>165168.85762999998</v>
      </c>
      <c r="D20" s="298">
        <f>(SUM(B30:D30)*D$105-SUM(B30:C30)*C$105)/1000</f>
        <v>175426.19815000004</v>
      </c>
      <c r="E20" s="298">
        <f>(SUM(B30:E30)*E$105-SUM(B30:D30)*D$105)/1000</f>
        <v>127351.83587000001</v>
      </c>
      <c r="F20" s="443">
        <f t="shared" ref="F20:F26" si="12">SUM(B20:E20)</f>
        <v>625474.96785000013</v>
      </c>
      <c r="G20" s="298">
        <f>+G30*G$104/1000</f>
        <v>126805.59539999999</v>
      </c>
      <c r="H20" s="298">
        <f>(SUM(G30:H30)*H$105-G30*G$105)/1000</f>
        <v>69471.2788</v>
      </c>
      <c r="I20" s="298">
        <f>(SUM(G30:I30)*I$105-SUM(G30:H30)*H$105)/1000</f>
        <v>160270.86140000002</v>
      </c>
      <c r="J20" s="298">
        <f>(SUM(G30:J30)*J$105-SUM(G30:I30)*I$105)/1000</f>
        <v>153423.85244999992</v>
      </c>
      <c r="K20" s="443">
        <f t="shared" ref="K20:K26" si="13">SUM(G20:J20)</f>
        <v>509971.5880499999</v>
      </c>
      <c r="L20" s="298">
        <f>+L30*L$104/1000</f>
        <v>147314.10807999998</v>
      </c>
      <c r="M20" s="298">
        <f>(SUM(L30:M30)*M$105-L30*L$105)/1000</f>
        <v>127375.04109182965</v>
      </c>
      <c r="N20" s="298">
        <f>(SUM(L30:N30)*N$105-SUM(L30:M30)*M$105)/1000</f>
        <v>153814.32828180373</v>
      </c>
      <c r="O20" s="298">
        <f>(SUM(L30:O30)*O$105-SUM(L30:N30)*N$105)/1000</f>
        <v>140117.46530394716</v>
      </c>
      <c r="P20" s="443">
        <f t="shared" ref="P20:P26" si="14">SUM(L20:O20)</f>
        <v>568620.94275758043</v>
      </c>
      <c r="Q20" s="316">
        <f>+Q30*Q$104/1000</f>
        <v>135347.21370000002</v>
      </c>
      <c r="R20" s="300">
        <f>+Q20/L20-1</f>
        <v>-8.12338650789729E-2</v>
      </c>
      <c r="S20" s="300">
        <f>+R30</f>
        <v>-0.15087236551661576</v>
      </c>
      <c r="U20" s="317"/>
      <c r="V20" s="317"/>
      <c r="W20" s="317"/>
    </row>
    <row r="21" spans="1:23" s="283" customFormat="1" ht="15.95" customHeight="1">
      <c r="A21" s="305" t="s">
        <v>438</v>
      </c>
      <c r="B21" s="302">
        <f>+B31*B$104/1000</f>
        <v>55643.081559999991</v>
      </c>
      <c r="C21" s="302">
        <f>(SUM(B31:C31)*C$105-B31*B$105)/1000</f>
        <v>55375.491179999997</v>
      </c>
      <c r="D21" s="302">
        <f>(SUM(B31:D31)*D$105-SUM(B31:C31)*C$105)/1000</f>
        <v>53637.927480000006</v>
      </c>
      <c r="E21" s="302">
        <f>(SUM(B31:E31)*E$105-SUM(B31:D31)*D$105)/1000</f>
        <v>33126.329180000008</v>
      </c>
      <c r="F21" s="440">
        <f t="shared" si="12"/>
        <v>197782.82939999999</v>
      </c>
      <c r="G21" s="302">
        <f>+G31*G$104/1000</f>
        <v>39334.594199999992</v>
      </c>
      <c r="H21" s="302">
        <f>(SUM(G31:H31)*H$105-G31*G$105)/1000</f>
        <v>22200.9496</v>
      </c>
      <c r="I21" s="302">
        <f>(SUM(G31:I31)*I$105-SUM(G31:H31)*H$105)/1000</f>
        <v>45118.985960000005</v>
      </c>
      <c r="J21" s="302">
        <f>(SUM(G31:J31)*J$105-SUM(G31:I31)*I$105)/1000</f>
        <v>38085.683039999974</v>
      </c>
      <c r="K21" s="440">
        <f t="shared" si="13"/>
        <v>144740.21279999998</v>
      </c>
      <c r="L21" s="302">
        <f>+L31*L$104/1000</f>
        <v>39604.78168</v>
      </c>
      <c r="M21" s="302">
        <f>(SUM(L31:M31)*M$105-L31*L$105)/1000</f>
        <v>33779.026830272654</v>
      </c>
      <c r="N21" s="302">
        <f>(SUM(L31:N31)*N$105-SUM(L31:M31)*M$105)/1000</f>
        <v>46867.209871306688</v>
      </c>
      <c r="O21" s="302">
        <f>(SUM(L31:O31)*O$105-SUM(L31:N31)*N$105)/1000</f>
        <v>37487.69292811185</v>
      </c>
      <c r="P21" s="440">
        <f t="shared" si="14"/>
        <v>157738.71130969119</v>
      </c>
      <c r="Q21" s="318">
        <f>+Q31*Q$104/1000</f>
        <v>36376.235550000005</v>
      </c>
      <c r="R21" s="304">
        <f>+Q21/L21-1</f>
        <v>-8.1519099286699981E-2</v>
      </c>
      <c r="S21" s="304">
        <f t="shared" ref="S21:S26" si="15">+R31</f>
        <v>-0.15113598020470143</v>
      </c>
      <c r="U21" s="317"/>
      <c r="V21" s="317"/>
      <c r="W21" s="317"/>
    </row>
    <row r="22" spans="1:23" s="283" customFormat="1" ht="15.95" customHeight="1">
      <c r="A22" s="306" t="s">
        <v>692</v>
      </c>
      <c r="B22" s="307">
        <f>+B21/B$20</f>
        <v>0.35322644002428311</v>
      </c>
      <c r="C22" s="307">
        <f t="shared" ref="C22:F22" si="16">+C21/C$20</f>
        <v>0.33526593314611641</v>
      </c>
      <c r="D22" s="307">
        <f t="shared" si="16"/>
        <v>0.30575779470598985</v>
      </c>
      <c r="E22" s="307">
        <f t="shared" si="16"/>
        <v>0.26011662064938873</v>
      </c>
      <c r="F22" s="441">
        <f t="shared" si="16"/>
        <v>0.31621222201722354</v>
      </c>
      <c r="G22" s="307">
        <f>+G21/G$20</f>
        <v>0.31019604518177274</v>
      </c>
      <c r="H22" s="307">
        <f t="shared" ref="H22" si="17">+H21/H$20</f>
        <v>0.31957018761543221</v>
      </c>
      <c r="I22" s="307">
        <f t="shared" ref="I22" si="18">+I21/I$20</f>
        <v>0.28151708654883412</v>
      </c>
      <c r="J22" s="307">
        <f t="shared" ref="J22:K22" si="19">+J21/J$20</f>
        <v>0.24823834385472696</v>
      </c>
      <c r="K22" s="441">
        <f t="shared" si="19"/>
        <v>0.28382015036062952</v>
      </c>
      <c r="L22" s="307">
        <f>+L21/L$20</f>
        <v>0.26884581657645673</v>
      </c>
      <c r="M22" s="307">
        <f t="shared" ref="M22" si="20">+M21/M$20</f>
        <v>0.2651934518782218</v>
      </c>
      <c r="N22" s="307">
        <f t="shared" ref="N22" si="21">+N21/N$20</f>
        <v>0.30469989626350752</v>
      </c>
      <c r="O22" s="307">
        <f t="shared" ref="O22:P22" si="22">+O21/O$20</f>
        <v>0.26754475501531794</v>
      </c>
      <c r="P22" s="441">
        <f t="shared" si="22"/>
        <v>0.27740573631481558</v>
      </c>
      <c r="Q22" s="319">
        <f>+Q21/Q$20</f>
        <v>0.2687623524384381</v>
      </c>
      <c r="R22" s="320">
        <f>+Q22-L22</f>
        <v>-8.3464138018629619E-5</v>
      </c>
      <c r="S22" s="320">
        <f t="shared" si="15"/>
        <v>-8.3464138018629619E-5</v>
      </c>
      <c r="U22" s="317"/>
      <c r="V22" s="317"/>
      <c r="W22" s="317"/>
    </row>
    <row r="23" spans="1:23" s="283" customFormat="1" ht="15.95" customHeight="1">
      <c r="A23" s="305" t="s">
        <v>439</v>
      </c>
      <c r="B23" s="302">
        <f>+B33*B$104/1000</f>
        <v>45425.105000000003</v>
      </c>
      <c r="C23" s="302">
        <f>(SUM(B33:C33)*C$105-B33*B$105)/1000</f>
        <v>39765.840370000005</v>
      </c>
      <c r="D23" s="302">
        <f>(SUM(B33:D33)*D$105-SUM(B33:C33)*C$105)/1000</f>
        <v>41240.29247</v>
      </c>
      <c r="E23" s="302">
        <f>(SUM(B33:E33)*E$105-SUM(B33:D33)*D$105)/1000</f>
        <v>33690.605710000011</v>
      </c>
      <c r="F23" s="440">
        <f t="shared" si="12"/>
        <v>160121.84355000002</v>
      </c>
      <c r="G23" s="302">
        <f>+G33*G$104/1000</f>
        <v>31584.029399999999</v>
      </c>
      <c r="H23" s="302">
        <f>(SUM(G33:H33)*H$105-G33*G$105)/1000</f>
        <v>27958.592299999997</v>
      </c>
      <c r="I23" s="302">
        <f>(SUM(G33:I33)*I$105-SUM(G33:H33)*H$105)/1000</f>
        <v>34566.576540000002</v>
      </c>
      <c r="J23" s="302">
        <f>(SUM(G33:J33)*J$105-SUM(G33:I33)*I$105)/1000</f>
        <v>40776.990514300007</v>
      </c>
      <c r="K23" s="440">
        <f t="shared" si="13"/>
        <v>134886.1887543</v>
      </c>
      <c r="L23" s="302">
        <f>+L33*L$104/1000</f>
        <v>35653.657919999998</v>
      </c>
      <c r="M23" s="302">
        <f>(SUM(L33:M33)*M$105-L33*L$105)/1000</f>
        <v>32332.257211776428</v>
      </c>
      <c r="N23" s="302">
        <f>(SUM(L33:N33)*N$105-SUM(L33:M33)*M$105)/1000</f>
        <v>35365.17451586439</v>
      </c>
      <c r="O23" s="302">
        <f>(SUM(L33:O33)*O$105-SUM(L33:N33)*N$105)/1000</f>
        <v>39099.296823232013</v>
      </c>
      <c r="P23" s="440">
        <f t="shared" si="14"/>
        <v>142450.38647087282</v>
      </c>
      <c r="Q23" s="318">
        <f>+Q33*Q$104/1000</f>
        <v>39188.58885</v>
      </c>
      <c r="R23" s="304">
        <f>+Q23/L23-1</f>
        <v>9.914637476838184E-2</v>
      </c>
      <c r="S23" s="304">
        <f t="shared" si="15"/>
        <v>1.5835832083958001E-2</v>
      </c>
      <c r="U23" s="317"/>
      <c r="V23" s="317"/>
      <c r="W23" s="317"/>
    </row>
    <row r="24" spans="1:23" s="283" customFormat="1" ht="15.95" customHeight="1">
      <c r="A24" s="308" t="s">
        <v>440</v>
      </c>
      <c r="B24" s="309">
        <f>+B34*B$104/1000</f>
        <v>10217.976559999999</v>
      </c>
      <c r="C24" s="309">
        <f>(SUM(B34:C34)*C$105-B34*B$105)/1000</f>
        <v>15609.650810000003</v>
      </c>
      <c r="D24" s="309">
        <f>(SUM(B34:D34)*D$105-SUM(B34:C34)*C$105)/1000</f>
        <v>12397.635010000002</v>
      </c>
      <c r="E24" s="309">
        <f>(SUM(B34:E34)*E$105-SUM(B34:D34)*D$105)/1000</f>
        <v>-564.27653000000123</v>
      </c>
      <c r="F24" s="442">
        <f t="shared" si="12"/>
        <v>37660.985849999997</v>
      </c>
      <c r="G24" s="309">
        <f>+G34*G$104/1000</f>
        <v>7750.5648000000001</v>
      </c>
      <c r="H24" s="309">
        <f>(SUM(G34:H34)*H$105-G34*G$105)/1000</f>
        <v>-5757.6427000000003</v>
      </c>
      <c r="I24" s="309">
        <f>(SUM(G34:I34)*I$105-SUM(G34:H34)*H$105)/1000</f>
        <v>10552.40942</v>
      </c>
      <c r="J24" s="309">
        <f>(SUM(G34:J34)*J$105-SUM(G34:I34)*I$105)/1000</f>
        <v>-2691.3074743000006</v>
      </c>
      <c r="K24" s="442">
        <f t="shared" si="13"/>
        <v>9854.0240457</v>
      </c>
      <c r="L24" s="309">
        <f>+L34*L$104/1000</f>
        <v>3951.1237599999999</v>
      </c>
      <c r="M24" s="309">
        <f>(SUM(L34:M34)*M$105-L34*L$105)/1000</f>
        <v>1446.7696184962263</v>
      </c>
      <c r="N24" s="309">
        <f>(SUM(L34:N34)*N$105-SUM(L34:M34)*M$105)/1000</f>
        <v>11502.0353554423</v>
      </c>
      <c r="O24" s="309">
        <f>(SUM(L34:O34)*O$105-SUM(L34:N34)*N$105)/1000</f>
        <v>-1611.6038951201383</v>
      </c>
      <c r="P24" s="442">
        <f t="shared" si="14"/>
        <v>15288.324838818387</v>
      </c>
      <c r="Q24" s="321">
        <f>+Q34*Q$104/1000</f>
        <v>-2812.3533000000002</v>
      </c>
      <c r="R24" s="311" t="str">
        <f>IF(OR(L24&lt;=0,Q24&lt;=0),"n/a",+Q24/L24-1)</f>
        <v>n/a</v>
      </c>
      <c r="S24" s="311" t="str">
        <f t="shared" si="15"/>
        <v>n/a</v>
      </c>
      <c r="U24" s="317"/>
      <c r="V24" s="317"/>
      <c r="W24" s="317"/>
    </row>
    <row r="25" spans="1:23" s="283" customFormat="1" ht="15.95" customHeight="1">
      <c r="A25" s="306" t="s">
        <v>693</v>
      </c>
      <c r="B25" s="307">
        <f>+B24/B$20</f>
        <v>6.4864478805842229E-2</v>
      </c>
      <c r="C25" s="307">
        <f t="shared" ref="C25:F25" si="23">+C24/C$20</f>
        <v>9.4507227536607896E-2</v>
      </c>
      <c r="D25" s="307">
        <f t="shared" si="23"/>
        <v>7.0671513951406917E-2</v>
      </c>
      <c r="E25" s="307">
        <f t="shared" si="23"/>
        <v>-4.4308472362817866E-3</v>
      </c>
      <c r="F25" s="441">
        <f t="shared" si="23"/>
        <v>6.0211819474495359E-2</v>
      </c>
      <c r="G25" s="307">
        <f>+G24/G$20</f>
        <v>6.112163091503453E-2</v>
      </c>
      <c r="H25" s="307">
        <f t="shared" ref="H25" si="24">+H24/H$20</f>
        <v>-8.2878029589402061E-2</v>
      </c>
      <c r="I25" s="307">
        <f t="shared" ref="I25" si="25">+I24/I$20</f>
        <v>6.5841097550873945E-2</v>
      </c>
      <c r="J25" s="307">
        <f t="shared" ref="J25:K25" si="26">+J24/J$20</f>
        <v>-1.7541649693466565E-2</v>
      </c>
      <c r="K25" s="441">
        <f t="shared" si="26"/>
        <v>1.9322692237383757E-2</v>
      </c>
      <c r="L25" s="307">
        <f>+L24/L$20</f>
        <v>2.6821081914668445E-2</v>
      </c>
      <c r="M25" s="307">
        <f t="shared" ref="M25" si="27">+M24/M$20</f>
        <v>1.135834466544504E-2</v>
      </c>
      <c r="N25" s="307">
        <f t="shared" ref="N25" si="28">+N24/N$20</f>
        <v>7.4778698993304346E-2</v>
      </c>
      <c r="O25" s="307">
        <f t="shared" ref="O25:P25" si="29">+O24/O$20</f>
        <v>-1.1501805942779489E-2</v>
      </c>
      <c r="P25" s="441">
        <f t="shared" si="29"/>
        <v>2.6886672102994003E-2</v>
      </c>
      <c r="Q25" s="322">
        <f>+Q24/Q$20</f>
        <v>-2.0778804551038938E-2</v>
      </c>
      <c r="R25" s="320">
        <f>+Q25-L25</f>
        <v>-4.7599886465707383E-2</v>
      </c>
      <c r="S25" s="320">
        <f t="shared" si="15"/>
        <v>-4.7599886465707383E-2</v>
      </c>
      <c r="U25" s="317"/>
      <c r="V25" s="317"/>
      <c r="W25" s="317"/>
    </row>
    <row r="26" spans="1:23" s="283" customFormat="1" ht="15.95" customHeight="1">
      <c r="A26" s="312" t="s">
        <v>441</v>
      </c>
      <c r="B26" s="313">
        <f>+B36*B$104/1000</f>
        <v>6650.3478800000003</v>
      </c>
      <c r="C26" s="313">
        <f>(SUM(B36:C36)*C$105-B36*B$105)/1000</f>
        <v>11084.156870000001</v>
      </c>
      <c r="D26" s="313">
        <f>(SUM(B36:D36)*D$105-SUM(B36:C36)*C$105)/1000</f>
        <v>8196.0554100000008</v>
      </c>
      <c r="E26" s="313">
        <v>-1024</v>
      </c>
      <c r="F26" s="444">
        <f t="shared" si="12"/>
        <v>24906.560160000001</v>
      </c>
      <c r="G26" s="313">
        <f>+G36*G$104/1000</f>
        <v>4072.3914</v>
      </c>
      <c r="H26" s="313">
        <f>(SUM(G36:H36)*H$105-G36*G$105)/1000</f>
        <v>-5272.2487999999994</v>
      </c>
      <c r="I26" s="313">
        <f>(SUM(G36:I36)*I$105-SUM(G36:H36)*H$105)/1000</f>
        <v>7766.704459999999</v>
      </c>
      <c r="J26" s="313">
        <f>(SUM(G36:J36)*J$105-SUM(G36:I36)*I$105)/1000</f>
        <v>-2245.50396</v>
      </c>
      <c r="K26" s="444">
        <f t="shared" si="13"/>
        <v>4321.3431</v>
      </c>
      <c r="L26" s="313">
        <f>+L36*L$104/1000</f>
        <v>2129.2414399999998</v>
      </c>
      <c r="M26" s="313">
        <f>(SUM(L36:M36)*M$105-L36*L$105)/1000</f>
        <v>525.91480000000024</v>
      </c>
      <c r="N26" s="313">
        <f>(SUM(L36:N36)*N$105-SUM(L36:M36)*M$105)/1000</f>
        <v>8714.8366600000008</v>
      </c>
      <c r="O26" s="313">
        <f>(SUM(L36:O36)*O$105-SUM(L36:N36)*N$105)/1000</f>
        <v>-1011.6408300000001</v>
      </c>
      <c r="P26" s="444">
        <f t="shared" si="14"/>
        <v>10358.352070000001</v>
      </c>
      <c r="Q26" s="323">
        <f>+Q36*Q$104/1000</f>
        <v>-2095.40805</v>
      </c>
      <c r="R26" s="315" t="str">
        <f>IF(OR(L26&lt;=0,Q26&lt;=0),"n/a",+Q26/L26-1)</f>
        <v>n/a</v>
      </c>
      <c r="S26" s="315" t="str">
        <f t="shared" si="15"/>
        <v>n/a</v>
      </c>
      <c r="U26" s="317"/>
      <c r="V26" s="317"/>
      <c r="W26" s="317"/>
    </row>
    <row r="27" spans="1:23" s="283" customFormat="1" ht="9" customHeight="1">
      <c r="A27" s="281"/>
      <c r="B27" s="282"/>
      <c r="C27" s="282"/>
      <c r="D27" s="282"/>
      <c r="E27" s="282"/>
      <c r="F27" s="282"/>
      <c r="G27" s="282"/>
      <c r="H27" s="282"/>
      <c r="I27" s="282"/>
      <c r="J27" s="282"/>
      <c r="K27" s="282"/>
      <c r="L27" s="282"/>
      <c r="M27" s="282"/>
      <c r="N27" s="282"/>
      <c r="O27" s="282"/>
      <c r="P27" s="282"/>
      <c r="Q27" s="282"/>
      <c r="R27" s="282"/>
      <c r="S27" s="282"/>
    </row>
    <row r="28" spans="1:23">
      <c r="A28" s="286" t="s">
        <v>682</v>
      </c>
      <c r="B28" s="277"/>
      <c r="C28" s="277"/>
      <c r="D28" s="277"/>
      <c r="E28" s="277"/>
      <c r="F28" s="277"/>
      <c r="G28" s="277"/>
      <c r="H28" s="277"/>
      <c r="I28" s="277"/>
      <c r="J28" s="277"/>
      <c r="K28" s="277"/>
      <c r="L28" s="277"/>
      <c r="M28" s="277"/>
      <c r="N28" s="277"/>
      <c r="O28" s="277"/>
      <c r="P28" s="277"/>
      <c r="Q28" s="277"/>
      <c r="R28" s="277"/>
      <c r="S28" s="277"/>
    </row>
    <row r="29" spans="1:23" s="137" customFormat="1" ht="15.95" customHeight="1">
      <c r="A29" s="414" t="s">
        <v>477</v>
      </c>
      <c r="B29" s="279" t="s">
        <v>451</v>
      </c>
      <c r="C29" s="279" t="s">
        <v>452</v>
      </c>
      <c r="D29" s="279" t="s">
        <v>453</v>
      </c>
      <c r="E29" s="279" t="s">
        <v>454</v>
      </c>
      <c r="F29" s="439" t="s">
        <v>701</v>
      </c>
      <c r="G29" s="279" t="s">
        <v>455</v>
      </c>
      <c r="H29" s="279" t="s">
        <v>456</v>
      </c>
      <c r="I29" s="279" t="s">
        <v>457</v>
      </c>
      <c r="J29" s="279" t="s">
        <v>458</v>
      </c>
      <c r="K29" s="439" t="s">
        <v>706</v>
      </c>
      <c r="L29" s="279" t="s">
        <v>430</v>
      </c>
      <c r="M29" s="279" t="s">
        <v>433</v>
      </c>
      <c r="N29" s="279" t="s">
        <v>434</v>
      </c>
      <c r="O29" s="279" t="s">
        <v>435</v>
      </c>
      <c r="P29" s="439" t="s">
        <v>707</v>
      </c>
      <c r="Q29" s="445" t="s">
        <v>429</v>
      </c>
      <c r="R29" s="279" t="s">
        <v>431</v>
      </c>
      <c r="S29" s="277"/>
    </row>
    <row r="30" spans="1:23" s="283" customFormat="1" ht="15.95" customHeight="1">
      <c r="A30" s="297" t="s">
        <v>436</v>
      </c>
      <c r="B30" s="298">
        <v>140015</v>
      </c>
      <c r="C30" s="298">
        <v>141568</v>
      </c>
      <c r="D30" s="298">
        <v>147028</v>
      </c>
      <c r="E30" s="298">
        <v>107978</v>
      </c>
      <c r="F30" s="443">
        <f>SUM(B30:E30)</f>
        <v>536589</v>
      </c>
      <c r="G30" s="298">
        <v>106149</v>
      </c>
      <c r="H30" s="298">
        <v>56453</v>
      </c>
      <c r="I30" s="298">
        <v>134338</v>
      </c>
      <c r="J30" s="298">
        <v>135221</v>
      </c>
      <c r="K30" s="443">
        <f>SUM(G30:J30)</f>
        <v>432161</v>
      </c>
      <c r="L30" s="298">
        <v>132284</v>
      </c>
      <c r="M30" s="298">
        <v>113525.04452999994</v>
      </c>
      <c r="N30" s="298">
        <v>133136</v>
      </c>
      <c r="O30" s="298">
        <v>118018.69642000005</v>
      </c>
      <c r="P30" s="443">
        <f>SUM(L30:O30)</f>
        <v>496963.74095000001</v>
      </c>
      <c r="Q30" s="316">
        <v>112326</v>
      </c>
      <c r="R30" s="300">
        <f>+Q30/L30-1</f>
        <v>-0.15087236551661576</v>
      </c>
      <c r="S30" s="282"/>
    </row>
    <row r="31" spans="1:23" s="283" customFormat="1" ht="15.95" customHeight="1">
      <c r="A31" s="305" t="s">
        <v>438</v>
      </c>
      <c r="B31" s="302">
        <v>49457</v>
      </c>
      <c r="C31" s="302">
        <v>47417</v>
      </c>
      <c r="D31" s="302">
        <v>44805</v>
      </c>
      <c r="E31" s="302">
        <v>27997</v>
      </c>
      <c r="F31" s="440">
        <f>SUM(B31:E31)</f>
        <v>169676</v>
      </c>
      <c r="G31" s="302">
        <v>32927</v>
      </c>
      <c r="H31" s="302">
        <v>18051</v>
      </c>
      <c r="I31" s="302">
        <v>37846</v>
      </c>
      <c r="J31" s="302">
        <v>33832</v>
      </c>
      <c r="K31" s="440">
        <f>SUM(G31:J31)</f>
        <v>122656</v>
      </c>
      <c r="L31" s="302">
        <v>35564</v>
      </c>
      <c r="M31" s="302">
        <v>30104.425229999946</v>
      </c>
      <c r="N31" s="302">
        <v>40675</v>
      </c>
      <c r="O31" s="302">
        <v>31517.167250000042</v>
      </c>
      <c r="P31" s="440">
        <f>SUM(L31:O31)</f>
        <v>137860.59247999999</v>
      </c>
      <c r="Q31" s="318">
        <v>30189</v>
      </c>
      <c r="R31" s="304">
        <f>+Q31/L31-1</f>
        <v>-0.15113598020470143</v>
      </c>
      <c r="S31" s="282"/>
    </row>
    <row r="32" spans="1:23" s="283" customFormat="1" ht="15.95" customHeight="1">
      <c r="A32" s="306" t="s">
        <v>692</v>
      </c>
      <c r="B32" s="307">
        <f>+B31/B$30</f>
        <v>0.35322644002428311</v>
      </c>
      <c r="C32" s="307">
        <f t="shared" ref="C32:Q32" si="30">+C31/C$30</f>
        <v>0.33494151220614826</v>
      </c>
      <c r="D32" s="307">
        <f t="shared" si="30"/>
        <v>0.304737873058193</v>
      </c>
      <c r="E32" s="307">
        <f t="shared" si="30"/>
        <v>0.25928429865342939</v>
      </c>
      <c r="F32" s="441">
        <f t="shared" si="30"/>
        <v>0.3162122220172236</v>
      </c>
      <c r="G32" s="307">
        <f t="shared" si="30"/>
        <v>0.31019604518177279</v>
      </c>
      <c r="H32" s="307">
        <f t="shared" si="30"/>
        <v>0.31975271464758293</v>
      </c>
      <c r="I32" s="307">
        <f t="shared" si="30"/>
        <v>0.28172222304932337</v>
      </c>
      <c r="J32" s="307">
        <f t="shared" si="30"/>
        <v>0.25019782430243825</v>
      </c>
      <c r="K32" s="441">
        <f t="shared" ref="K32" si="31">+K31/K$30</f>
        <v>0.28382015036062946</v>
      </c>
      <c r="L32" s="307">
        <f t="shared" si="30"/>
        <v>0.26884581657645673</v>
      </c>
      <c r="M32" s="307">
        <f t="shared" si="30"/>
        <v>0.26517871324899239</v>
      </c>
      <c r="N32" s="307">
        <f t="shared" si="30"/>
        <v>0.30551466169931496</v>
      </c>
      <c r="O32" s="307">
        <f t="shared" si="30"/>
        <v>0.26705232480994412</v>
      </c>
      <c r="P32" s="441">
        <f t="shared" ref="P32" si="32">+P31/P$30</f>
        <v>0.27740573631481552</v>
      </c>
      <c r="Q32" s="322">
        <f t="shared" si="30"/>
        <v>0.2687623524384381</v>
      </c>
      <c r="R32" s="320">
        <f>+Q32-L32</f>
        <v>-8.3464138018629619E-5</v>
      </c>
      <c r="S32" s="282"/>
    </row>
    <row r="33" spans="1:23" s="283" customFormat="1" ht="15.95" customHeight="1">
      <c r="A33" s="305" t="s">
        <v>439</v>
      </c>
      <c r="B33" s="302">
        <f>+B31-B34</f>
        <v>40375</v>
      </c>
      <c r="C33" s="302">
        <f t="shared" ref="C33:Q33" si="33">+C31-C34</f>
        <v>33962</v>
      </c>
      <c r="D33" s="302">
        <f t="shared" si="33"/>
        <v>34451</v>
      </c>
      <c r="E33" s="302">
        <f t="shared" si="33"/>
        <v>28579</v>
      </c>
      <c r="F33" s="440">
        <f t="shared" ref="F33:F36" si="34">SUM(B33:E33)</f>
        <v>137367</v>
      </c>
      <c r="G33" s="302">
        <f t="shared" si="33"/>
        <v>26439</v>
      </c>
      <c r="H33" s="302">
        <f t="shared" si="33"/>
        <v>22888</v>
      </c>
      <c r="I33" s="302">
        <f t="shared" si="33"/>
        <v>29049</v>
      </c>
      <c r="J33" s="302">
        <f t="shared" si="33"/>
        <v>35929.486000000004</v>
      </c>
      <c r="K33" s="440">
        <f t="shared" ref="K33:K36" si="35">SUM(G33:J33)</f>
        <v>114305.486</v>
      </c>
      <c r="L33" s="302">
        <f t="shared" si="33"/>
        <v>32016</v>
      </c>
      <c r="M33" s="302">
        <f t="shared" si="33"/>
        <v>28822.052360000012</v>
      </c>
      <c r="N33" s="302">
        <f t="shared" si="33"/>
        <v>30560</v>
      </c>
      <c r="O33" s="302">
        <f t="shared" si="33"/>
        <v>33100.838970000077</v>
      </c>
      <c r="P33" s="440">
        <f t="shared" ref="P33:P36" si="36">SUM(L33:O33)</f>
        <v>124498.8913300001</v>
      </c>
      <c r="Q33" s="318">
        <f t="shared" si="33"/>
        <v>32523</v>
      </c>
      <c r="R33" s="304">
        <f>+Q33/L33-1</f>
        <v>1.5835832083958001E-2</v>
      </c>
      <c r="S33" s="282"/>
    </row>
    <row r="34" spans="1:23" s="283" customFormat="1" ht="15.95" customHeight="1">
      <c r="A34" s="308" t="s">
        <v>440</v>
      </c>
      <c r="B34" s="309">
        <v>9082</v>
      </c>
      <c r="C34" s="309">
        <v>13455</v>
      </c>
      <c r="D34" s="309">
        <v>10354</v>
      </c>
      <c r="E34" s="309">
        <v>-582</v>
      </c>
      <c r="F34" s="442">
        <f t="shared" si="34"/>
        <v>32309</v>
      </c>
      <c r="G34" s="309">
        <v>6488</v>
      </c>
      <c r="H34" s="309">
        <v>-4837</v>
      </c>
      <c r="I34" s="309">
        <v>8797</v>
      </c>
      <c r="J34" s="309">
        <v>-2097.4860000000008</v>
      </c>
      <c r="K34" s="442">
        <f t="shared" si="35"/>
        <v>8350.5139999999992</v>
      </c>
      <c r="L34" s="309">
        <v>3548</v>
      </c>
      <c r="M34" s="309">
        <v>1282.372869999934</v>
      </c>
      <c r="N34" s="309">
        <v>10115</v>
      </c>
      <c r="O34" s="309">
        <v>-1583.671720000033</v>
      </c>
      <c r="P34" s="442">
        <f t="shared" si="36"/>
        <v>13361.701149999901</v>
      </c>
      <c r="Q34" s="321">
        <v>-2334</v>
      </c>
      <c r="R34" s="311" t="str">
        <f>IF(OR(L34&lt;=0,Q34&lt;=0),"n/a",+Q34/L34-1)</f>
        <v>n/a</v>
      </c>
      <c r="S34" s="282"/>
    </row>
    <row r="35" spans="1:23" s="283" customFormat="1" ht="15.95" customHeight="1">
      <c r="A35" s="306" t="s">
        <v>693</v>
      </c>
      <c r="B35" s="307">
        <f>+B34/B$30</f>
        <v>6.4864478805842229E-2</v>
      </c>
      <c r="C35" s="307">
        <f t="shared" ref="C35:Q35" si="37">+C34/C$30</f>
        <v>9.5042665009041585E-2</v>
      </c>
      <c r="D35" s="307">
        <f t="shared" si="37"/>
        <v>7.042196044290884E-2</v>
      </c>
      <c r="E35" s="307">
        <f t="shared" si="37"/>
        <v>-5.3899868491729796E-3</v>
      </c>
      <c r="F35" s="441">
        <f t="shared" si="37"/>
        <v>6.021181947449538E-2</v>
      </c>
      <c r="G35" s="307">
        <f t="shared" si="37"/>
        <v>6.1121630915034524E-2</v>
      </c>
      <c r="H35" s="307">
        <f t="shared" si="37"/>
        <v>-8.5681894673445169E-2</v>
      </c>
      <c r="I35" s="307">
        <f t="shared" si="37"/>
        <v>6.5484077476216707E-2</v>
      </c>
      <c r="J35" s="307">
        <f t="shared" si="37"/>
        <v>-1.5511540367250654E-2</v>
      </c>
      <c r="K35" s="441">
        <f t="shared" ref="K35" si="38">+K34/K$30</f>
        <v>1.932269223738375E-2</v>
      </c>
      <c r="L35" s="307">
        <f t="shared" si="37"/>
        <v>2.6821081914668442E-2</v>
      </c>
      <c r="M35" s="307">
        <f t="shared" si="37"/>
        <v>1.1295946857444802E-2</v>
      </c>
      <c r="N35" s="307">
        <f t="shared" si="37"/>
        <v>7.5974942915514959E-2</v>
      </c>
      <c r="O35" s="307">
        <f t="shared" si="37"/>
        <v>-1.3418820644858911E-2</v>
      </c>
      <c r="P35" s="441">
        <f t="shared" ref="P35" si="39">+P34/P$30</f>
        <v>2.6886672102993996E-2</v>
      </c>
      <c r="Q35" s="322">
        <f t="shared" si="37"/>
        <v>-2.0778804551038942E-2</v>
      </c>
      <c r="R35" s="320">
        <f>+Q35-L35</f>
        <v>-4.7599886465707383E-2</v>
      </c>
      <c r="S35" s="282"/>
    </row>
    <row r="36" spans="1:23" s="283" customFormat="1" ht="15.95" customHeight="1">
      <c r="A36" s="312" t="s">
        <v>441</v>
      </c>
      <c r="B36" s="313">
        <v>5911</v>
      </c>
      <c r="C36" s="313">
        <v>9564</v>
      </c>
      <c r="D36" s="313">
        <v>6837</v>
      </c>
      <c r="E36" s="313">
        <v>-944</v>
      </c>
      <c r="F36" s="444">
        <f t="shared" si="34"/>
        <v>21368</v>
      </c>
      <c r="G36" s="313">
        <v>3409</v>
      </c>
      <c r="H36" s="313">
        <v>-4403</v>
      </c>
      <c r="I36" s="313">
        <v>6463</v>
      </c>
      <c r="J36" s="313">
        <v>-1807</v>
      </c>
      <c r="K36" s="444">
        <f t="shared" si="35"/>
        <v>3662</v>
      </c>
      <c r="L36" s="313">
        <v>1912</v>
      </c>
      <c r="M36" s="313">
        <v>464</v>
      </c>
      <c r="N36" s="313">
        <v>7679</v>
      </c>
      <c r="O36" s="313">
        <v>-1002</v>
      </c>
      <c r="P36" s="444">
        <f t="shared" si="36"/>
        <v>9053</v>
      </c>
      <c r="Q36" s="323">
        <v>-1739</v>
      </c>
      <c r="R36" s="315" t="str">
        <f>IF(OR(L36&lt;=0,Q36&lt;=0),"n/a",+Q36/L36-1)</f>
        <v>n/a</v>
      </c>
      <c r="S36" s="282"/>
    </row>
    <row r="37" spans="1:23" s="283" customFormat="1" ht="9" customHeight="1">
      <c r="A37" s="281"/>
      <c r="B37" s="282"/>
      <c r="C37" s="282"/>
      <c r="D37" s="282"/>
      <c r="E37" s="282"/>
      <c r="F37" s="282"/>
      <c r="G37" s="282"/>
      <c r="H37" s="282"/>
      <c r="I37" s="282"/>
      <c r="J37" s="282"/>
      <c r="K37" s="282"/>
      <c r="L37" s="282"/>
      <c r="M37" s="282"/>
      <c r="N37" s="282"/>
      <c r="O37" s="282"/>
      <c r="P37" s="282"/>
      <c r="Q37" s="282"/>
      <c r="R37" s="282"/>
      <c r="S37" s="282"/>
    </row>
    <row r="38" spans="1:23">
      <c r="A38" s="424" t="s">
        <v>474</v>
      </c>
      <c r="B38" s="425"/>
      <c r="C38" s="425"/>
      <c r="D38" s="277"/>
      <c r="E38" s="277"/>
      <c r="F38" s="277"/>
      <c r="G38" s="277"/>
      <c r="H38" s="277"/>
      <c r="I38" s="277"/>
      <c r="J38" s="277"/>
      <c r="K38" s="277"/>
      <c r="L38" s="277"/>
      <c r="M38" s="277"/>
      <c r="N38" s="277"/>
      <c r="O38" s="277"/>
      <c r="P38" s="277"/>
      <c r="Q38" s="277"/>
      <c r="R38" s="277"/>
      <c r="S38" s="277"/>
    </row>
    <row r="39" spans="1:23" s="287" customFormat="1" ht="13.5">
      <c r="A39" s="286" t="s">
        <v>700</v>
      </c>
      <c r="B39" s="82"/>
      <c r="C39" s="82"/>
      <c r="D39" s="82"/>
      <c r="E39" s="82"/>
      <c r="F39" s="82"/>
      <c r="G39" s="82"/>
      <c r="H39" s="82"/>
      <c r="I39" s="82"/>
      <c r="J39" s="82"/>
      <c r="K39" s="82"/>
      <c r="L39" s="82"/>
      <c r="M39" s="82"/>
      <c r="N39" s="82"/>
      <c r="O39" s="82"/>
      <c r="P39" s="82"/>
      <c r="Q39" s="82"/>
      <c r="R39" s="82"/>
      <c r="S39" s="82"/>
    </row>
    <row r="40" spans="1:23" s="137" customFormat="1" ht="15.95" customHeight="1">
      <c r="A40" s="414" t="s">
        <v>450</v>
      </c>
      <c r="B40" s="279" t="s">
        <v>451</v>
      </c>
      <c r="C40" s="279" t="s">
        <v>452</v>
      </c>
      <c r="D40" s="279" t="s">
        <v>453</v>
      </c>
      <c r="E40" s="279" t="s">
        <v>454</v>
      </c>
      <c r="F40" s="439" t="s">
        <v>701</v>
      </c>
      <c r="G40" s="279" t="s">
        <v>455</v>
      </c>
      <c r="H40" s="279" t="s">
        <v>456</v>
      </c>
      <c r="I40" s="279" t="s">
        <v>457</v>
      </c>
      <c r="J40" s="279" t="s">
        <v>458</v>
      </c>
      <c r="K40" s="439" t="s">
        <v>706</v>
      </c>
      <c r="L40" s="279" t="s">
        <v>430</v>
      </c>
      <c r="M40" s="279" t="s">
        <v>433</v>
      </c>
      <c r="N40" s="279" t="s">
        <v>434</v>
      </c>
      <c r="O40" s="279" t="s">
        <v>435</v>
      </c>
      <c r="P40" s="439" t="s">
        <v>707</v>
      </c>
      <c r="Q40" s="445" t="s">
        <v>429</v>
      </c>
      <c r="R40" s="279" t="s">
        <v>431</v>
      </c>
      <c r="S40" s="277"/>
    </row>
    <row r="41" spans="1:23" s="283" customFormat="1" ht="15.95" customHeight="1">
      <c r="A41" s="297" t="s">
        <v>436</v>
      </c>
      <c r="B41" s="298">
        <f>+B42+B43</f>
        <v>139062.39528600001</v>
      </c>
      <c r="C41" s="298">
        <f t="shared" ref="C41:N41" si="40">+C42+C43</f>
        <v>160756.42610300001</v>
      </c>
      <c r="D41" s="298">
        <f t="shared" si="40"/>
        <v>149822.97154900001</v>
      </c>
      <c r="E41" s="298">
        <f t="shared" si="40"/>
        <v>162594.42989299999</v>
      </c>
      <c r="F41" s="443">
        <f t="shared" ref="F41:F51" si="41">SUM(B41:E41)</f>
        <v>612236.22283100011</v>
      </c>
      <c r="G41" s="298">
        <f t="shared" si="40"/>
        <v>128826.103303</v>
      </c>
      <c r="H41" s="298">
        <f t="shared" si="40"/>
        <v>142107.82990499999</v>
      </c>
      <c r="I41" s="298">
        <f t="shared" si="40"/>
        <v>121737.31164499999</v>
      </c>
      <c r="J41" s="298">
        <f t="shared" si="40"/>
        <v>136176.40956100001</v>
      </c>
      <c r="K41" s="443">
        <f t="shared" ref="K41:K51" si="42">SUM(G41:J41)</f>
        <v>528847.65441399999</v>
      </c>
      <c r="L41" s="298">
        <f t="shared" si="40"/>
        <v>136163</v>
      </c>
      <c r="M41" s="298">
        <f t="shared" si="40"/>
        <v>136861.31843300001</v>
      </c>
      <c r="N41" s="298">
        <f t="shared" si="40"/>
        <v>113267.702953</v>
      </c>
      <c r="O41" s="298">
        <v>152698.97861399996</v>
      </c>
      <c r="P41" s="443">
        <f t="shared" ref="P41:P51" si="43">SUM(L41:O41)</f>
        <v>538991</v>
      </c>
      <c r="Q41" s="316">
        <v>132789</v>
      </c>
      <c r="R41" s="300">
        <f>+Q41/L41-1</f>
        <v>-2.477912501927837E-2</v>
      </c>
      <c r="S41" s="282"/>
      <c r="U41" s="317"/>
      <c r="V41" s="317"/>
      <c r="W41" s="317"/>
    </row>
    <row r="42" spans="1:23" s="283" customFormat="1" ht="15.95" customHeight="1">
      <c r="A42" s="301" t="s">
        <v>695</v>
      </c>
      <c r="B42" s="302">
        <v>131714.39528600001</v>
      </c>
      <c r="C42" s="302">
        <v>151212.42610300001</v>
      </c>
      <c r="D42" s="302">
        <v>141461.97154900001</v>
      </c>
      <c r="E42" s="302">
        <v>149326.42989299999</v>
      </c>
      <c r="F42" s="440">
        <f t="shared" si="41"/>
        <v>573715.22283100011</v>
      </c>
      <c r="G42" s="302">
        <v>121087.103303</v>
      </c>
      <c r="H42" s="302">
        <v>130652.82990499999</v>
      </c>
      <c r="I42" s="302">
        <v>111351.31164499999</v>
      </c>
      <c r="J42" s="302">
        <v>119758.40956100001</v>
      </c>
      <c r="K42" s="440">
        <f t="shared" si="42"/>
        <v>482849.65441399999</v>
      </c>
      <c r="L42" s="302">
        <v>122947.35913116499</v>
      </c>
      <c r="M42" s="302">
        <v>122148.718433</v>
      </c>
      <c r="N42" s="302">
        <v>101929.32331200001</v>
      </c>
      <c r="O42" s="302">
        <v>132321</v>
      </c>
      <c r="P42" s="440">
        <f t="shared" si="43"/>
        <v>479346.40087616502</v>
      </c>
      <c r="Q42" s="318">
        <v>116911</v>
      </c>
      <c r="R42" s="304">
        <f t="shared" ref="R42:R43" si="44">+Q42/L42-1</f>
        <v>-4.9097102807431403E-2</v>
      </c>
      <c r="S42" s="282"/>
    </row>
    <row r="43" spans="1:23" s="283" customFormat="1" ht="15.95" customHeight="1">
      <c r="A43" s="435" t="s">
        <v>694</v>
      </c>
      <c r="B43" s="302">
        <v>7348</v>
      </c>
      <c r="C43" s="302">
        <v>9544</v>
      </c>
      <c r="D43" s="302">
        <v>8361</v>
      </c>
      <c r="E43" s="302">
        <v>13268</v>
      </c>
      <c r="F43" s="440">
        <f t="shared" si="41"/>
        <v>38521</v>
      </c>
      <c r="G43" s="302">
        <v>7739</v>
      </c>
      <c r="H43" s="302">
        <v>11455</v>
      </c>
      <c r="I43" s="302">
        <v>10386</v>
      </c>
      <c r="J43" s="302">
        <v>16418</v>
      </c>
      <c r="K43" s="440">
        <f t="shared" si="42"/>
        <v>45998</v>
      </c>
      <c r="L43" s="302">
        <v>13215.640868835</v>
      </c>
      <c r="M43" s="302">
        <v>14712.6</v>
      </c>
      <c r="N43" s="302">
        <v>11338.379640999996</v>
      </c>
      <c r="O43" s="302">
        <v>20379.473490165004</v>
      </c>
      <c r="P43" s="440">
        <f t="shared" si="43"/>
        <v>59646.093999999997</v>
      </c>
      <c r="Q43" s="318">
        <f>Q41-Q42</f>
        <v>15878</v>
      </c>
      <c r="R43" s="304">
        <f t="shared" si="44"/>
        <v>0.20145516646440886</v>
      </c>
      <c r="S43" s="282"/>
    </row>
    <row r="44" spans="1:23" s="283" customFormat="1" ht="15.95" customHeight="1">
      <c r="A44" s="305" t="s">
        <v>478</v>
      </c>
      <c r="B44" s="302">
        <v>85367</v>
      </c>
      <c r="C44" s="302">
        <v>100801</v>
      </c>
      <c r="D44" s="302">
        <v>92105</v>
      </c>
      <c r="E44" s="302">
        <v>107092.46100000001</v>
      </c>
      <c r="F44" s="440">
        <f t="shared" si="41"/>
        <v>385365.46100000001</v>
      </c>
      <c r="G44" s="302">
        <v>78992</v>
      </c>
      <c r="H44" s="302">
        <v>88269</v>
      </c>
      <c r="I44" s="302">
        <v>71090</v>
      </c>
      <c r="J44" s="302">
        <v>82551</v>
      </c>
      <c r="K44" s="440">
        <f t="shared" si="42"/>
        <v>320902</v>
      </c>
      <c r="L44" s="302">
        <v>84292</v>
      </c>
      <c r="M44" s="302">
        <v>84470</v>
      </c>
      <c r="N44" s="302">
        <v>66956</v>
      </c>
      <c r="O44" s="302">
        <v>89001</v>
      </c>
      <c r="P44" s="440">
        <f t="shared" si="43"/>
        <v>324719</v>
      </c>
      <c r="Q44" s="318">
        <v>79953</v>
      </c>
      <c r="R44" s="304">
        <f>+Q44/L44-1</f>
        <v>-5.1475822142077576E-2</v>
      </c>
      <c r="S44" s="282"/>
    </row>
    <row r="45" spans="1:23" s="283" customFormat="1" ht="15.95" customHeight="1">
      <c r="A45" s="306" t="s">
        <v>692</v>
      </c>
      <c r="B45" s="307">
        <f>+B44/B$41</f>
        <v>0.61387551842776467</v>
      </c>
      <c r="C45" s="307">
        <f t="shared" ref="C45:O45" si="45">+C44/C$41</f>
        <v>0.62704180755682326</v>
      </c>
      <c r="D45" s="307">
        <f t="shared" si="45"/>
        <v>0.61475886539786595</v>
      </c>
      <c r="E45" s="307">
        <f t="shared" si="45"/>
        <v>0.65864778437044447</v>
      </c>
      <c r="F45" s="441">
        <f t="shared" si="45"/>
        <v>0.62943917172698083</v>
      </c>
      <c r="G45" s="307">
        <f t="shared" si="45"/>
        <v>0.61316765759971958</v>
      </c>
      <c r="H45" s="307">
        <f t="shared" si="45"/>
        <v>0.62114100299053476</v>
      </c>
      <c r="I45" s="307">
        <f t="shared" si="45"/>
        <v>0.58396229585968362</v>
      </c>
      <c r="J45" s="307">
        <f t="shared" si="45"/>
        <v>0.60620631918644774</v>
      </c>
      <c r="K45" s="441">
        <f t="shared" ref="K45" si="46">+K44/K$41</f>
        <v>0.60679478734869641</v>
      </c>
      <c r="L45" s="307">
        <f t="shared" si="45"/>
        <v>0.61905216541938701</v>
      </c>
      <c r="M45" s="307">
        <f t="shared" si="45"/>
        <v>0.61719411274962988</v>
      </c>
      <c r="N45" s="307">
        <f t="shared" si="45"/>
        <v>0.59113055402724235</v>
      </c>
      <c r="O45" s="307">
        <f t="shared" si="45"/>
        <v>0.58285262159468099</v>
      </c>
      <c r="P45" s="441">
        <f t="shared" ref="P45" si="47">+P44/P$41</f>
        <v>0.6024571838861873</v>
      </c>
      <c r="Q45" s="322">
        <f>+Q44/Q$41</f>
        <v>0.60210559609606218</v>
      </c>
      <c r="R45" s="320">
        <f>+Q45-L45</f>
        <v>-1.6946569323324834E-2</v>
      </c>
      <c r="S45" s="282"/>
    </row>
    <row r="46" spans="1:23" s="283" customFormat="1" ht="15.95" customHeight="1">
      <c r="A46" s="305" t="s">
        <v>439</v>
      </c>
      <c r="B46" s="302">
        <f>+B44-B47</f>
        <v>61199</v>
      </c>
      <c r="C46" s="302">
        <f t="shared" ref="C46:Q46" si="48">+C44-C47</f>
        <v>69674</v>
      </c>
      <c r="D46" s="302">
        <f t="shared" si="48"/>
        <v>65650</v>
      </c>
      <c r="E46" s="302">
        <f t="shared" si="48"/>
        <v>76618.46100000001</v>
      </c>
      <c r="F46" s="440">
        <f t="shared" si="41"/>
        <v>273141.46100000001</v>
      </c>
      <c r="G46" s="302">
        <f t="shared" si="48"/>
        <v>57432</v>
      </c>
      <c r="H46" s="302">
        <f t="shared" si="48"/>
        <v>60246</v>
      </c>
      <c r="I46" s="302">
        <f t="shared" si="48"/>
        <v>48695</v>
      </c>
      <c r="J46" s="302">
        <f t="shared" si="48"/>
        <v>60244</v>
      </c>
      <c r="K46" s="440">
        <f t="shared" si="42"/>
        <v>226617</v>
      </c>
      <c r="L46" s="302">
        <f t="shared" si="48"/>
        <v>58363</v>
      </c>
      <c r="M46" s="302">
        <f t="shared" si="48"/>
        <v>56751.068853000004</v>
      </c>
      <c r="N46" s="302">
        <f t="shared" si="48"/>
        <v>47203.620359000008</v>
      </c>
      <c r="O46" s="302">
        <f t="shared" si="48"/>
        <v>56289.526509834992</v>
      </c>
      <c r="P46" s="440">
        <f t="shared" si="43"/>
        <v>218607.21572183497</v>
      </c>
      <c r="Q46" s="318">
        <f t="shared" si="48"/>
        <v>54389</v>
      </c>
      <c r="R46" s="304">
        <f>+Q46/L46-1</f>
        <v>-6.8091085105289273E-2</v>
      </c>
      <c r="S46" s="282"/>
    </row>
    <row r="47" spans="1:23" s="283" customFormat="1" ht="15.95" customHeight="1">
      <c r="A47" s="308" t="s">
        <v>440</v>
      </c>
      <c r="B47" s="309">
        <f>+B49+B43</f>
        <v>24168</v>
      </c>
      <c r="C47" s="309">
        <f t="shared" ref="C47:O47" si="49">+C49+C43</f>
        <v>31127</v>
      </c>
      <c r="D47" s="309">
        <f t="shared" si="49"/>
        <v>26455</v>
      </c>
      <c r="E47" s="309">
        <f t="shared" si="49"/>
        <v>30474</v>
      </c>
      <c r="F47" s="442">
        <f t="shared" si="41"/>
        <v>112224</v>
      </c>
      <c r="G47" s="309">
        <f t="shared" si="49"/>
        <v>21560</v>
      </c>
      <c r="H47" s="309">
        <f t="shared" si="49"/>
        <v>28023</v>
      </c>
      <c r="I47" s="309">
        <f t="shared" si="49"/>
        <v>22395</v>
      </c>
      <c r="J47" s="309">
        <f t="shared" si="49"/>
        <v>22307</v>
      </c>
      <c r="K47" s="442">
        <f t="shared" si="42"/>
        <v>94285</v>
      </c>
      <c r="L47" s="309">
        <f t="shared" si="49"/>
        <v>25929</v>
      </c>
      <c r="M47" s="309">
        <f t="shared" si="49"/>
        <v>27718.931146999999</v>
      </c>
      <c r="N47" s="309">
        <f t="shared" si="49"/>
        <v>19752.379640999996</v>
      </c>
      <c r="O47" s="309">
        <f t="shared" si="49"/>
        <v>32711.473490165004</v>
      </c>
      <c r="P47" s="442">
        <f t="shared" si="43"/>
        <v>106111.784278165</v>
      </c>
      <c r="Q47" s="321">
        <v>25564</v>
      </c>
      <c r="R47" s="311">
        <f>+Q47/L47-1</f>
        <v>-1.4076902310154682E-2</v>
      </c>
      <c r="S47" s="282"/>
      <c r="U47" s="317"/>
      <c r="V47" s="317"/>
      <c r="W47" s="317"/>
    </row>
    <row r="48" spans="1:23" s="283" customFormat="1" ht="15.95" customHeight="1">
      <c r="A48" s="306" t="s">
        <v>693</v>
      </c>
      <c r="B48" s="307">
        <f>+B47/B$41</f>
        <v>0.17379249041622896</v>
      </c>
      <c r="C48" s="307">
        <f t="shared" ref="C48" si="50">+C47/C$41</f>
        <v>0.19362834043135718</v>
      </c>
      <c r="D48" s="307">
        <f t="shared" ref="D48" si="51">+D47/D$41</f>
        <v>0.17657505872754514</v>
      </c>
      <c r="E48" s="307">
        <f t="shared" ref="E48:F48" si="52">+E47/E$41</f>
        <v>0.18742339463937543</v>
      </c>
      <c r="F48" s="441">
        <f t="shared" si="52"/>
        <v>0.18330179727209311</v>
      </c>
      <c r="G48" s="307">
        <f t="shared" ref="G48" si="53">+G47/G$41</f>
        <v>0.16735738679676362</v>
      </c>
      <c r="H48" s="307">
        <f t="shared" ref="H48" si="54">+H47/H$41</f>
        <v>0.19719532708882795</v>
      </c>
      <c r="I48" s="307">
        <f t="shared" ref="I48" si="55">+I47/I$41</f>
        <v>0.1839616769697231</v>
      </c>
      <c r="J48" s="307">
        <f t="shared" ref="J48:K48" si="56">+J47/J$41</f>
        <v>0.16380957665070187</v>
      </c>
      <c r="K48" s="441">
        <f t="shared" si="56"/>
        <v>0.17828385776708103</v>
      </c>
      <c r="L48" s="307">
        <f t="shared" ref="L48" si="57">+L47/L$41</f>
        <v>0.19042618038674236</v>
      </c>
      <c r="M48" s="307">
        <f t="shared" ref="M48" si="58">+M47/M$41</f>
        <v>0.20253298349284651</v>
      </c>
      <c r="N48" s="307">
        <f t="shared" ref="N48" si="59">+N47/N$41</f>
        <v>0.17438668857967546</v>
      </c>
      <c r="O48" s="307">
        <f t="shared" ref="O48:P48" si="60">+O47/O$41</f>
        <v>0.21422195346083281</v>
      </c>
      <c r="P48" s="441">
        <f t="shared" si="60"/>
        <v>0.19687116163009213</v>
      </c>
      <c r="Q48" s="322">
        <f>+Q47/Q$41</f>
        <v>0.19251594635097788</v>
      </c>
      <c r="R48" s="320">
        <v>3.0000000000000001E-3</v>
      </c>
      <c r="S48" s="282"/>
    </row>
    <row r="49" spans="1:23" s="283" customFormat="1" ht="15.95" customHeight="1">
      <c r="A49" s="301" t="s">
        <v>695</v>
      </c>
      <c r="B49" s="302">
        <v>16820</v>
      </c>
      <c r="C49" s="302">
        <v>21583</v>
      </c>
      <c r="D49" s="302">
        <v>18094</v>
      </c>
      <c r="E49" s="302">
        <v>17206</v>
      </c>
      <c r="F49" s="440">
        <f t="shared" si="41"/>
        <v>73703</v>
      </c>
      <c r="G49" s="302">
        <v>13821</v>
      </c>
      <c r="H49" s="302">
        <v>16568</v>
      </c>
      <c r="I49" s="302">
        <v>12009</v>
      </c>
      <c r="J49" s="302">
        <v>5889</v>
      </c>
      <c r="K49" s="440">
        <f t="shared" si="42"/>
        <v>48287</v>
      </c>
      <c r="L49" s="302">
        <v>12713.359131165</v>
      </c>
      <c r="M49" s="302">
        <v>13006.331146999999</v>
      </c>
      <c r="N49" s="302">
        <v>8414</v>
      </c>
      <c r="O49" s="302">
        <v>12332</v>
      </c>
      <c r="P49" s="440">
        <f t="shared" si="43"/>
        <v>46465.690278164999</v>
      </c>
      <c r="Q49" s="318">
        <v>9687</v>
      </c>
      <c r="R49" s="474">
        <f>+Q49/L49-1</f>
        <v>-0.23804559439733819</v>
      </c>
      <c r="S49" s="282"/>
    </row>
    <row r="50" spans="1:23" s="283" customFormat="1" ht="15.95" customHeight="1">
      <c r="A50" s="306" t="s">
        <v>693</v>
      </c>
      <c r="B50" s="307">
        <f>+B49/B$42</f>
        <v>0.12770054452649343</v>
      </c>
      <c r="C50" s="307">
        <f t="shared" ref="C50:Q50" si="61">+C49/C$42</f>
        <v>0.14273297873878765</v>
      </c>
      <c r="D50" s="307">
        <f t="shared" si="61"/>
        <v>0.12790716686521331</v>
      </c>
      <c r="E50" s="307">
        <f>+E49/E$42</f>
        <v>0.11522407662413799</v>
      </c>
      <c r="F50" s="441">
        <f t="shared" si="61"/>
        <v>0.12846617462285947</v>
      </c>
      <c r="G50" s="307">
        <f t="shared" si="61"/>
        <v>0.11414097474456289</v>
      </c>
      <c r="H50" s="307">
        <f t="shared" si="61"/>
        <v>0.12680934666357313</v>
      </c>
      <c r="I50" s="307">
        <f t="shared" si="61"/>
        <v>0.10784785399103325</v>
      </c>
      <c r="J50" s="307">
        <f t="shared" si="61"/>
        <v>4.9173999734861092E-2</v>
      </c>
      <c r="K50" s="441">
        <f t="shared" ref="K50" si="62">+K49/K$42</f>
        <v>0.10000421364824724</v>
      </c>
      <c r="L50" s="307">
        <f t="shared" si="61"/>
        <v>0.10340489800681198</v>
      </c>
      <c r="M50" s="307">
        <f t="shared" si="61"/>
        <v>0.10647947284141276</v>
      </c>
      <c r="N50" s="307">
        <f t="shared" si="61"/>
        <v>8.2547393886303083E-2</v>
      </c>
      <c r="O50" s="307">
        <f t="shared" si="61"/>
        <v>9.3197602799253335E-2</v>
      </c>
      <c r="P50" s="441">
        <f t="shared" ref="P50" si="63">+P49/P$42</f>
        <v>9.693551509562498E-2</v>
      </c>
      <c r="Q50" s="322">
        <f t="shared" si="61"/>
        <v>8.2857900454191655E-2</v>
      </c>
      <c r="R50" s="320">
        <f>+Q50-L50</f>
        <v>-2.0546997552620322E-2</v>
      </c>
      <c r="S50" s="282"/>
    </row>
    <row r="51" spans="1:23" s="283" customFormat="1" ht="15.95" customHeight="1">
      <c r="A51" s="312" t="s">
        <v>441</v>
      </c>
      <c r="B51" s="313">
        <v>19496</v>
      </c>
      <c r="C51" s="313">
        <v>21154</v>
      </c>
      <c r="D51" s="313">
        <v>35605</v>
      </c>
      <c r="E51" s="313">
        <v>31865.894999999997</v>
      </c>
      <c r="F51" s="444">
        <f t="shared" si="41"/>
        <v>108120.89499999999</v>
      </c>
      <c r="G51" s="313">
        <v>15777</v>
      </c>
      <c r="H51" s="313">
        <v>20275</v>
      </c>
      <c r="I51" s="313">
        <v>16893</v>
      </c>
      <c r="J51" s="313">
        <v>17472</v>
      </c>
      <c r="K51" s="444">
        <f t="shared" si="42"/>
        <v>70417</v>
      </c>
      <c r="L51" s="313">
        <v>21069</v>
      </c>
      <c r="M51" s="313">
        <v>20946</v>
      </c>
      <c r="N51" s="313">
        <v>13218</v>
      </c>
      <c r="O51" s="313">
        <v>21762</v>
      </c>
      <c r="P51" s="444">
        <f t="shared" si="43"/>
        <v>76995</v>
      </c>
      <c r="Q51" s="323">
        <v>20088.603218</v>
      </c>
      <c r="R51" s="315">
        <f>+Q51/L51-1</f>
        <v>-4.6532667995633381E-2</v>
      </c>
      <c r="S51" s="282"/>
    </row>
    <row r="52" spans="1:23" s="283" customFormat="1" ht="9" customHeight="1">
      <c r="A52" s="281"/>
      <c r="B52" s="282"/>
      <c r="C52" s="282"/>
      <c r="D52" s="282"/>
      <c r="E52" s="282"/>
      <c r="F52" s="282"/>
      <c r="G52" s="282"/>
      <c r="H52" s="282"/>
      <c r="I52" s="282"/>
      <c r="J52" s="282"/>
      <c r="K52" s="282"/>
      <c r="L52" s="282"/>
      <c r="M52" s="282"/>
      <c r="N52" s="282"/>
      <c r="O52" s="282"/>
      <c r="P52" s="282"/>
      <c r="Q52" s="282"/>
      <c r="R52" s="282"/>
      <c r="S52" s="282"/>
    </row>
    <row r="53" spans="1:23">
      <c r="A53" s="286" t="s">
        <v>696</v>
      </c>
      <c r="B53" s="277"/>
      <c r="C53" s="277"/>
      <c r="D53" s="277"/>
      <c r="E53" s="277"/>
      <c r="F53" s="277"/>
      <c r="G53" s="277"/>
      <c r="H53" s="277"/>
      <c r="I53" s="277"/>
      <c r="J53" s="277"/>
      <c r="K53" s="277"/>
      <c r="L53" s="277"/>
      <c r="M53" s="277"/>
      <c r="N53" s="277"/>
      <c r="O53" s="277"/>
      <c r="P53" s="277"/>
      <c r="Q53" s="277"/>
      <c r="R53" s="277"/>
      <c r="S53" s="277"/>
    </row>
    <row r="54" spans="1:23" s="137" customFormat="1" ht="15.95" customHeight="1">
      <c r="A54" s="414" t="s">
        <v>697</v>
      </c>
      <c r="B54" s="279" t="s">
        <v>451</v>
      </c>
      <c r="C54" s="279" t="s">
        <v>452</v>
      </c>
      <c r="D54" s="279" t="s">
        <v>453</v>
      </c>
      <c r="E54" s="279" t="s">
        <v>454</v>
      </c>
      <c r="F54" s="439" t="s">
        <v>701</v>
      </c>
      <c r="G54" s="279" t="s">
        <v>455</v>
      </c>
      <c r="H54" s="279" t="s">
        <v>456</v>
      </c>
      <c r="I54" s="279" t="s">
        <v>457</v>
      </c>
      <c r="J54" s="279" t="s">
        <v>458</v>
      </c>
      <c r="K54" s="439" t="s">
        <v>706</v>
      </c>
      <c r="L54" s="279" t="s">
        <v>430</v>
      </c>
      <c r="M54" s="279" t="s">
        <v>433</v>
      </c>
      <c r="N54" s="279" t="s">
        <v>434</v>
      </c>
      <c r="O54" s="279" t="s">
        <v>435</v>
      </c>
      <c r="P54" s="439" t="s">
        <v>707</v>
      </c>
      <c r="Q54" s="445" t="s">
        <v>429</v>
      </c>
      <c r="R54" s="279" t="s">
        <v>431</v>
      </c>
      <c r="S54" s="277"/>
    </row>
    <row r="55" spans="1:23" s="283" customFormat="1" ht="15.95" customHeight="1">
      <c r="A55" s="436" t="s">
        <v>698</v>
      </c>
      <c r="B55" s="437">
        <v>6473</v>
      </c>
      <c r="C55" s="437">
        <v>8235</v>
      </c>
      <c r="D55" s="437">
        <v>6972</v>
      </c>
      <c r="E55" s="437">
        <v>11470</v>
      </c>
      <c r="F55" s="446">
        <f t="shared" ref="F55" si="64">SUM(B55:E55)</f>
        <v>33150</v>
      </c>
      <c r="G55" s="437">
        <v>6314</v>
      </c>
      <c r="H55" s="437">
        <v>9528.7659999999996</v>
      </c>
      <c r="I55" s="437">
        <v>8857</v>
      </c>
      <c r="J55" s="437">
        <v>15101</v>
      </c>
      <c r="K55" s="446">
        <f t="shared" ref="K55" si="65">SUM(G55:J55)</f>
        <v>39800.766000000003</v>
      </c>
      <c r="L55" s="437">
        <v>11659</v>
      </c>
      <c r="M55" s="437">
        <v>13031</v>
      </c>
      <c r="N55" s="437">
        <v>9545</v>
      </c>
      <c r="O55" s="437">
        <v>17189</v>
      </c>
      <c r="P55" s="446">
        <f t="shared" ref="P55" si="66">SUM(L55:O55)</f>
        <v>51424</v>
      </c>
      <c r="Q55" s="438">
        <v>13129</v>
      </c>
      <c r="R55" s="330">
        <f>+Q55/L55-1</f>
        <v>0.12608285444720813</v>
      </c>
      <c r="S55" s="282"/>
      <c r="U55" s="317"/>
      <c r="V55" s="317"/>
      <c r="W55" s="317"/>
    </row>
    <row r="56" spans="1:23" s="283" customFormat="1" ht="11.25">
      <c r="A56" s="281" t="s">
        <v>699</v>
      </c>
      <c r="B56" s="282"/>
      <c r="C56" s="282"/>
      <c r="D56" s="282"/>
      <c r="E56" s="282"/>
      <c r="F56" s="282"/>
      <c r="G56" s="282"/>
      <c r="H56" s="282"/>
      <c r="I56" s="282"/>
      <c r="J56" s="282"/>
      <c r="K56" s="282"/>
      <c r="L56" s="282"/>
      <c r="M56" s="282"/>
      <c r="N56" s="282"/>
      <c r="O56" s="282"/>
      <c r="P56" s="282"/>
      <c r="Q56" s="282"/>
      <c r="R56" s="282"/>
      <c r="S56" s="282"/>
    </row>
    <row r="57" spans="1:23" s="283" customFormat="1" ht="9" customHeight="1">
      <c r="A57" s="281"/>
      <c r="B57" s="282"/>
      <c r="C57" s="282"/>
      <c r="D57" s="282"/>
      <c r="E57" s="282"/>
      <c r="F57" s="282"/>
      <c r="G57" s="282"/>
      <c r="H57" s="282"/>
      <c r="I57" s="282"/>
      <c r="J57" s="282"/>
      <c r="K57" s="282"/>
      <c r="L57" s="282"/>
      <c r="M57" s="282"/>
      <c r="N57" s="282"/>
      <c r="O57" s="282"/>
      <c r="P57" s="282"/>
      <c r="Q57" s="282"/>
      <c r="R57" s="282"/>
      <c r="S57" s="282"/>
    </row>
    <row r="58" spans="1:23">
      <c r="A58" s="424" t="s">
        <v>459</v>
      </c>
      <c r="B58" s="425"/>
      <c r="C58" s="425"/>
      <c r="D58" s="277"/>
      <c r="E58" s="277"/>
      <c r="F58" s="277"/>
      <c r="G58" s="277"/>
      <c r="H58" s="277"/>
      <c r="I58" s="277"/>
      <c r="J58" s="277"/>
      <c r="K58" s="277"/>
      <c r="L58" s="277"/>
      <c r="M58" s="277"/>
      <c r="N58" s="277"/>
      <c r="O58" s="277"/>
      <c r="P58" s="277"/>
      <c r="Q58" s="277"/>
      <c r="R58" s="277"/>
      <c r="S58" s="277"/>
    </row>
    <row r="59" spans="1:23">
      <c r="A59" s="286" t="s">
        <v>683</v>
      </c>
      <c r="B59" s="277"/>
      <c r="C59" s="277"/>
      <c r="D59" s="277"/>
      <c r="E59" s="277"/>
      <c r="F59" s="277"/>
      <c r="G59" s="277"/>
      <c r="H59" s="277"/>
      <c r="I59" s="277"/>
      <c r="J59" s="277"/>
      <c r="K59" s="277"/>
      <c r="L59" s="277"/>
      <c r="M59" s="277"/>
      <c r="N59" s="277"/>
      <c r="O59" s="277"/>
      <c r="P59" s="277"/>
      <c r="Q59" s="277"/>
      <c r="R59" s="277"/>
      <c r="S59" s="7"/>
      <c r="T59" s="137"/>
    </row>
    <row r="60" spans="1:23" s="137" customFormat="1" ht="15.95" customHeight="1">
      <c r="A60" s="414" t="s">
        <v>644</v>
      </c>
      <c r="B60" s="279" t="s">
        <v>451</v>
      </c>
      <c r="C60" s="279" t="s">
        <v>452</v>
      </c>
      <c r="D60" s="279" t="s">
        <v>453</v>
      </c>
      <c r="E60" s="279" t="s">
        <v>454</v>
      </c>
      <c r="F60" s="439" t="s">
        <v>701</v>
      </c>
      <c r="G60" s="279" t="s">
        <v>455</v>
      </c>
      <c r="H60" s="279" t="s">
        <v>456</v>
      </c>
      <c r="I60" s="279" t="s">
        <v>457</v>
      </c>
      <c r="J60" s="279" t="s">
        <v>458</v>
      </c>
      <c r="K60" s="439" t="s">
        <v>706</v>
      </c>
      <c r="L60" s="279" t="s">
        <v>430</v>
      </c>
      <c r="M60" s="279" t="s">
        <v>433</v>
      </c>
      <c r="N60" s="279" t="s">
        <v>434</v>
      </c>
      <c r="O60" s="279" t="s">
        <v>435</v>
      </c>
      <c r="P60" s="439" t="s">
        <v>707</v>
      </c>
      <c r="Q60" s="445" t="s">
        <v>429</v>
      </c>
      <c r="R60" s="279" t="s">
        <v>431</v>
      </c>
      <c r="S60" s="279" t="s">
        <v>432</v>
      </c>
    </row>
    <row r="61" spans="1:23" s="283" customFormat="1" ht="15.95" customHeight="1">
      <c r="A61" s="301" t="s">
        <v>443</v>
      </c>
      <c r="B61" s="302">
        <f t="shared" ref="B61:B66" si="67">+B70*B$104/1000</f>
        <v>5071.7740088400005</v>
      </c>
      <c r="C61" s="302">
        <f t="shared" ref="C61:C66" si="68">(SUM(B70:C70)*C$105-B70*B$105)/1000</f>
        <v>5282.5650083699993</v>
      </c>
      <c r="D61" s="302">
        <f t="shared" ref="D61:D66" si="69">(SUM(B70:D70)*D$105-SUM(B70:C70)*C$105)/1000</f>
        <v>5184.1990373849121</v>
      </c>
      <c r="E61" s="302">
        <f t="shared" ref="E61:E66" si="70">(SUM(B70:E70)*E$105-SUM(B70:D70)*D$105)/1000</f>
        <v>5801.2193950032888</v>
      </c>
      <c r="F61" s="440">
        <f>SUM(B61:E61)</f>
        <v>21339.757449598201</v>
      </c>
      <c r="G61" s="302">
        <f t="shared" ref="G61:G66" si="71">+G70*G$104/1000</f>
        <v>5378.8216238563855</v>
      </c>
      <c r="H61" s="302">
        <f t="shared" ref="H61:H66" si="72">(SUM(G70:H70)*H$105-G70*G$105)/1000</f>
        <v>3564.581548997131</v>
      </c>
      <c r="I61" s="302">
        <f t="shared" ref="I61:I66" si="73">(SUM(G70:I70)*I$105-SUM(G70:H70)*H$105)/1000</f>
        <v>3912.0218605008645</v>
      </c>
      <c r="J61" s="302">
        <f t="shared" ref="J61:J66" si="74">(SUM(G70:J70)*J$105-SUM(G70:I70)*I$105)/1000</f>
        <v>5367.7352917476201</v>
      </c>
      <c r="K61" s="440">
        <f>SUM(G61:J61)</f>
        <v>18223.160325101999</v>
      </c>
      <c r="L61" s="302">
        <f t="shared" ref="L61:L66" si="75">+L70*L$104/1000</f>
        <v>4754.3115314366396</v>
      </c>
      <c r="M61" s="302">
        <f t="shared" ref="M61:M66" si="76">(SUM(L70:M70)*M$105-L70*L$105)/1000</f>
        <v>4208.2269504772357</v>
      </c>
      <c r="N61" s="302">
        <f t="shared" ref="N61:N66" si="77">(SUM(L70:N70)*N$105-SUM(L70:M70)*M$105)/1000</f>
        <v>2960.0830439165084</v>
      </c>
      <c r="O61" s="302">
        <f t="shared" ref="O61:O66" si="78">(SUM(L70:O70)*O$105-SUM(L70:N70)*N$105)/1000</f>
        <v>5553.9791616975144</v>
      </c>
      <c r="P61" s="440">
        <f>SUM(L61:O61)</f>
        <v>17476.600687527898</v>
      </c>
      <c r="Q61" s="318">
        <f t="shared" ref="Q61:Q66" si="79">+Q70*Q$104/1000</f>
        <v>4871.680420871</v>
      </c>
      <c r="R61" s="304">
        <f t="shared" ref="R61:R66" si="80">+Q61/L61-1</f>
        <v>2.4686831870038173E-2</v>
      </c>
      <c r="S61" s="304">
        <f>+R70</f>
        <v>-5.2979999413160783E-2</v>
      </c>
    </row>
    <row r="62" spans="1:23" s="283" customFormat="1" ht="15.95" customHeight="1">
      <c r="A62" s="301" t="s">
        <v>444</v>
      </c>
      <c r="B62" s="302">
        <f t="shared" si="67"/>
        <v>1820.92960412</v>
      </c>
      <c r="C62" s="302">
        <f t="shared" si="68"/>
        <v>2202.5476264500003</v>
      </c>
      <c r="D62" s="302">
        <f t="shared" si="69"/>
        <v>2080.8831554135318</v>
      </c>
      <c r="E62" s="302">
        <f t="shared" si="70"/>
        <v>3199.9138069339692</v>
      </c>
      <c r="F62" s="440">
        <f>SUM(B62:E62)</f>
        <v>9304.2741929175008</v>
      </c>
      <c r="G62" s="302">
        <f t="shared" si="71"/>
        <v>1717.7306388439999</v>
      </c>
      <c r="H62" s="302">
        <f t="shared" si="72"/>
        <v>1074.1250704518634</v>
      </c>
      <c r="I62" s="302">
        <f t="shared" si="73"/>
        <v>1593.2237982265074</v>
      </c>
      <c r="J62" s="302">
        <f t="shared" si="74"/>
        <v>2735.8129438058763</v>
      </c>
      <c r="K62" s="440">
        <f t="shared" ref="K62:K66" si="81">SUM(G62:J62)</f>
        <v>7120.8924513282473</v>
      </c>
      <c r="L62" s="302">
        <f t="shared" si="75"/>
        <v>1745.6291884456418</v>
      </c>
      <c r="M62" s="302">
        <f t="shared" si="76"/>
        <v>2781.4700569366246</v>
      </c>
      <c r="N62" s="302">
        <f t="shared" si="77"/>
        <v>1942.4714705943604</v>
      </c>
      <c r="O62" s="302">
        <f t="shared" si="78"/>
        <v>1836.9931353655002</v>
      </c>
      <c r="P62" s="440">
        <f t="shared" ref="P62:P66" si="82">SUM(L62:O62)</f>
        <v>8306.5638513421272</v>
      </c>
      <c r="Q62" s="318">
        <f t="shared" si="79"/>
        <v>1351.6619165160002</v>
      </c>
      <c r="R62" s="304">
        <f t="shared" si="80"/>
        <v>-0.22568783481470156</v>
      </c>
      <c r="S62" s="304">
        <f t="shared" ref="S62:S66" si="83">+R71</f>
        <v>-0.28437734894090883</v>
      </c>
    </row>
    <row r="63" spans="1:23" s="283" customFormat="1" ht="15.95" customHeight="1">
      <c r="A63" s="301" t="s">
        <v>445</v>
      </c>
      <c r="B63" s="302">
        <f t="shared" si="67"/>
        <v>1312.67696428</v>
      </c>
      <c r="C63" s="302">
        <f t="shared" si="68"/>
        <v>1394.6261174500003</v>
      </c>
      <c r="D63" s="302">
        <f t="shared" si="69"/>
        <v>604.90642591909966</v>
      </c>
      <c r="E63" s="302">
        <f t="shared" si="70"/>
        <v>2260.2669018328997</v>
      </c>
      <c r="F63" s="440">
        <f>SUM(B63:E63)</f>
        <v>5572.4764094820002</v>
      </c>
      <c r="G63" s="302">
        <f t="shared" si="71"/>
        <v>924.22596697199981</v>
      </c>
      <c r="H63" s="302">
        <f t="shared" si="72"/>
        <v>513.62564720690841</v>
      </c>
      <c r="I63" s="302">
        <f t="shared" si="73"/>
        <v>1392.3491523375142</v>
      </c>
      <c r="J63" s="302">
        <f t="shared" si="74"/>
        <v>1354.9706253260742</v>
      </c>
      <c r="K63" s="440">
        <f t="shared" si="81"/>
        <v>4185.1713918424966</v>
      </c>
      <c r="L63" s="302">
        <f t="shared" si="75"/>
        <v>598.68739332295024</v>
      </c>
      <c r="M63" s="302">
        <f t="shared" si="76"/>
        <v>1879.61977836905</v>
      </c>
      <c r="N63" s="302">
        <f t="shared" si="77"/>
        <v>1747.7132428142675</v>
      </c>
      <c r="O63" s="302">
        <f t="shared" si="78"/>
        <v>1412.8904383635427</v>
      </c>
      <c r="P63" s="440">
        <f t="shared" si="82"/>
        <v>5638.9108528698107</v>
      </c>
      <c r="Q63" s="318">
        <f t="shared" si="79"/>
        <v>1896.6254000850001</v>
      </c>
      <c r="R63" s="304">
        <f t="shared" si="80"/>
        <v>2.1679728373066016</v>
      </c>
      <c r="S63" s="304">
        <f t="shared" si="83"/>
        <v>1.9278541940174923</v>
      </c>
    </row>
    <row r="64" spans="1:23" s="283" customFormat="1" ht="15.95" customHeight="1">
      <c r="A64" s="301" t="s">
        <v>446</v>
      </c>
      <c r="B64" s="302">
        <f t="shared" si="67"/>
        <v>10071.294254999995</v>
      </c>
      <c r="C64" s="302">
        <f t="shared" si="68"/>
        <v>10993.579731559999</v>
      </c>
      <c r="D64" s="302">
        <f t="shared" si="69"/>
        <v>14148.699990230516</v>
      </c>
      <c r="E64" s="302">
        <f t="shared" si="70"/>
        <v>10463.803020304851</v>
      </c>
      <c r="F64" s="440">
        <f>SUM(B64:E64)</f>
        <v>45677.376997095358</v>
      </c>
      <c r="G64" s="302">
        <f t="shared" si="71"/>
        <v>10266.905058154847</v>
      </c>
      <c r="H64" s="302">
        <f t="shared" si="72"/>
        <v>6401.057847504545</v>
      </c>
      <c r="I64" s="302">
        <f t="shared" si="73"/>
        <v>9745.1749493859334</v>
      </c>
      <c r="J64" s="302">
        <f t="shared" si="74"/>
        <v>8333.2061997927049</v>
      </c>
      <c r="K64" s="440">
        <f t="shared" si="81"/>
        <v>34746.344054838031</v>
      </c>
      <c r="L64" s="302">
        <f t="shared" si="75"/>
        <v>7443.6867457390235</v>
      </c>
      <c r="M64" s="302">
        <f t="shared" si="76"/>
        <v>7559.548204584572</v>
      </c>
      <c r="N64" s="302">
        <f t="shared" si="77"/>
        <v>8748.596240649571</v>
      </c>
      <c r="O64" s="302">
        <f t="shared" si="78"/>
        <v>7979.9968260720116</v>
      </c>
      <c r="P64" s="440">
        <f t="shared" si="82"/>
        <v>31731.82801704518</v>
      </c>
      <c r="Q64" s="318">
        <f t="shared" si="79"/>
        <v>8239.5681364666179</v>
      </c>
      <c r="R64" s="304">
        <f t="shared" si="80"/>
        <v>0.10692032294120635</v>
      </c>
      <c r="S64" s="304">
        <f t="shared" si="83"/>
        <v>2.3020548598519763E-2</v>
      </c>
    </row>
    <row r="65" spans="1:23" s="283" customFormat="1" ht="15.95" customHeight="1">
      <c r="A65" s="301" t="s">
        <v>447</v>
      </c>
      <c r="B65" s="302">
        <f t="shared" si="67"/>
        <v>515.86718127999995</v>
      </c>
      <c r="C65" s="302">
        <f t="shared" si="68"/>
        <v>596.39626225000018</v>
      </c>
      <c r="D65" s="302">
        <f t="shared" si="69"/>
        <v>530.48312330560009</v>
      </c>
      <c r="E65" s="302">
        <f t="shared" si="70"/>
        <v>549.67964063939985</v>
      </c>
      <c r="F65" s="440">
        <f>SUM(B65:E65)</f>
        <v>2192.4262074750004</v>
      </c>
      <c r="G65" s="302">
        <f t="shared" si="71"/>
        <v>533.46876697399989</v>
      </c>
      <c r="H65" s="302">
        <f t="shared" si="72"/>
        <v>607.05075962800004</v>
      </c>
      <c r="I65" s="302">
        <f t="shared" si="73"/>
        <v>538.62540395719998</v>
      </c>
      <c r="J65" s="302">
        <f t="shared" si="74"/>
        <v>573.46022016729955</v>
      </c>
      <c r="K65" s="440">
        <f t="shared" si="81"/>
        <v>2252.6051507264997</v>
      </c>
      <c r="L65" s="302">
        <f t="shared" si="75"/>
        <v>705.08012857760002</v>
      </c>
      <c r="M65" s="302">
        <f t="shared" si="76"/>
        <v>789.76256270373847</v>
      </c>
      <c r="N65" s="302">
        <f t="shared" si="77"/>
        <v>850.24555345679141</v>
      </c>
      <c r="O65" s="302">
        <f t="shared" si="78"/>
        <v>616.40582567404533</v>
      </c>
      <c r="P65" s="440">
        <f t="shared" si="82"/>
        <v>2961.4940704121755</v>
      </c>
      <c r="Q65" s="318">
        <f t="shared" si="79"/>
        <v>1000.7660050665</v>
      </c>
      <c r="R65" s="304">
        <f t="shared" si="80"/>
        <v>0.41936492677137949</v>
      </c>
      <c r="S65" s="304">
        <f t="shared" si="83"/>
        <v>0.31178320241598678</v>
      </c>
    </row>
    <row r="66" spans="1:23" s="283" customFormat="1" ht="15.95" customHeight="1">
      <c r="A66" s="312" t="s">
        <v>670</v>
      </c>
      <c r="B66" s="313">
        <f t="shared" si="67"/>
        <v>18792.542013519997</v>
      </c>
      <c r="C66" s="313">
        <f t="shared" si="68"/>
        <v>20469.714746080004</v>
      </c>
      <c r="D66" s="313">
        <f t="shared" si="69"/>
        <v>22549.171732253657</v>
      </c>
      <c r="E66" s="313">
        <f t="shared" si="70"/>
        <v>22274.882764714406</v>
      </c>
      <c r="F66" s="444">
        <f t="shared" ref="F66" si="84">SUM(B66:E66)</f>
        <v>84086.311256568064</v>
      </c>
      <c r="G66" s="313">
        <f t="shared" si="71"/>
        <v>18821.15205480123</v>
      </c>
      <c r="H66" s="313">
        <f t="shared" si="72"/>
        <v>12160.440873788446</v>
      </c>
      <c r="I66" s="313">
        <f t="shared" si="73"/>
        <v>17181.395164408026</v>
      </c>
      <c r="J66" s="313">
        <f t="shared" si="74"/>
        <v>18365.185280839571</v>
      </c>
      <c r="K66" s="444">
        <f t="shared" si="81"/>
        <v>66528.173373837286</v>
      </c>
      <c r="L66" s="313">
        <f t="shared" si="75"/>
        <v>15247.394987521855</v>
      </c>
      <c r="M66" s="313">
        <f t="shared" si="76"/>
        <v>17218.234845950985</v>
      </c>
      <c r="N66" s="313">
        <f t="shared" si="77"/>
        <v>16249.104881074156</v>
      </c>
      <c r="O66" s="313">
        <f t="shared" si="78"/>
        <v>17400.260674645</v>
      </c>
      <c r="P66" s="444">
        <f t="shared" si="82"/>
        <v>66114.995389192001</v>
      </c>
      <c r="Q66" s="323">
        <f t="shared" si="79"/>
        <v>17360.301879005125</v>
      </c>
      <c r="R66" s="315">
        <f t="shared" si="80"/>
        <v>0.1385749430123917</v>
      </c>
      <c r="S66" s="315">
        <f t="shared" si="83"/>
        <v>5.2275885337532246E-2</v>
      </c>
    </row>
    <row r="67" spans="1:23" s="283" customFormat="1" ht="11.25">
      <c r="A67" s="281"/>
      <c r="B67" s="282"/>
      <c r="C67" s="282"/>
      <c r="D67" s="282"/>
      <c r="E67" s="282"/>
      <c r="F67" s="282"/>
      <c r="G67" s="282"/>
      <c r="H67" s="282"/>
      <c r="I67" s="282"/>
      <c r="J67" s="282"/>
      <c r="K67" s="282"/>
      <c r="L67" s="282"/>
      <c r="M67" s="282"/>
      <c r="N67" s="282"/>
      <c r="O67" s="282"/>
      <c r="P67" s="282"/>
      <c r="Q67" s="282"/>
      <c r="R67" s="282"/>
      <c r="S67" s="295"/>
    </row>
    <row r="68" spans="1:23">
      <c r="A68" s="286" t="s">
        <v>684</v>
      </c>
      <c r="B68" s="277"/>
      <c r="C68" s="277"/>
      <c r="D68" s="277"/>
      <c r="E68" s="277"/>
      <c r="F68" s="277"/>
      <c r="G68" s="277"/>
      <c r="H68" s="277"/>
      <c r="I68" s="277"/>
      <c r="J68" s="277"/>
      <c r="K68" s="277"/>
      <c r="L68" s="277"/>
      <c r="M68" s="277"/>
      <c r="N68" s="277"/>
      <c r="O68" s="277"/>
      <c r="P68" s="277"/>
      <c r="Q68" s="277"/>
      <c r="R68" s="277"/>
      <c r="S68" s="7"/>
    </row>
    <row r="69" spans="1:23" s="137" customFormat="1" ht="15.95" customHeight="1">
      <c r="A69" s="414" t="s">
        <v>477</v>
      </c>
      <c r="B69" s="279" t="s">
        <v>451</v>
      </c>
      <c r="C69" s="279" t="s">
        <v>452</v>
      </c>
      <c r="D69" s="279" t="s">
        <v>453</v>
      </c>
      <c r="E69" s="279" t="s">
        <v>454</v>
      </c>
      <c r="F69" s="439" t="s">
        <v>701</v>
      </c>
      <c r="G69" s="279" t="s">
        <v>455</v>
      </c>
      <c r="H69" s="279" t="s">
        <v>456</v>
      </c>
      <c r="I69" s="279" t="s">
        <v>457</v>
      </c>
      <c r="J69" s="279" t="s">
        <v>458</v>
      </c>
      <c r="K69" s="439" t="s">
        <v>706</v>
      </c>
      <c r="L69" s="279" t="s">
        <v>430</v>
      </c>
      <c r="M69" s="279" t="s">
        <v>433</v>
      </c>
      <c r="N69" s="279" t="s">
        <v>434</v>
      </c>
      <c r="O69" s="279" t="s">
        <v>435</v>
      </c>
      <c r="P69" s="439" t="s">
        <v>707</v>
      </c>
      <c r="Q69" s="445" t="s">
        <v>429</v>
      </c>
      <c r="R69" s="279" t="s">
        <v>431</v>
      </c>
      <c r="S69" s="294"/>
    </row>
    <row r="70" spans="1:23" s="283" customFormat="1" ht="15.95" customHeight="1">
      <c r="A70" s="301" t="s">
        <v>443</v>
      </c>
      <c r="B70" s="302">
        <v>4507.9230000000007</v>
      </c>
      <c r="C70" s="302">
        <v>4527.1979999999994</v>
      </c>
      <c r="D70" s="302">
        <v>4335.043737471744</v>
      </c>
      <c r="E70" s="302">
        <v>4937.0093281553318</v>
      </c>
      <c r="F70" s="440">
        <f>SUM(B70:E70)</f>
        <v>18307.174065627074</v>
      </c>
      <c r="G70" s="302">
        <v>4502.6131122186389</v>
      </c>
      <c r="H70" s="302">
        <v>2906.3862853901064</v>
      </c>
      <c r="I70" s="302">
        <v>3297.2526081163746</v>
      </c>
      <c r="J70" s="302">
        <v>4736.4498502148836</v>
      </c>
      <c r="K70" s="440">
        <f>SUM(G70:J70)</f>
        <v>15442.701855940004</v>
      </c>
      <c r="L70" s="302">
        <v>4269.2404333943714</v>
      </c>
      <c r="M70" s="302">
        <v>3751</v>
      </c>
      <c r="N70" s="302">
        <v>2523.4741050926787</v>
      </c>
      <c r="O70" s="302">
        <v>4730.4975132944728</v>
      </c>
      <c r="P70" s="440">
        <f>SUM(L70:O70)</f>
        <v>15274.212051781522</v>
      </c>
      <c r="Q70" s="318">
        <v>4043.0560777384953</v>
      </c>
      <c r="R70" s="304">
        <f t="shared" ref="R70:R75" si="85">+Q70/L70-1</f>
        <v>-5.2979999413160783E-2</v>
      </c>
      <c r="S70" s="295"/>
    </row>
    <row r="71" spans="1:23" s="283" customFormat="1" ht="15.95" customHeight="1">
      <c r="A71" s="301" t="s">
        <v>444</v>
      </c>
      <c r="B71" s="302">
        <v>1618.489</v>
      </c>
      <c r="C71" s="302">
        <v>1892.3680000000004</v>
      </c>
      <c r="D71" s="302">
        <v>1741.6515494360001</v>
      </c>
      <c r="E71" s="302">
        <v>2729.5394005639996</v>
      </c>
      <c r="F71" s="440">
        <f t="shared" ref="F71:F75" si="86">SUM(B71:E71)</f>
        <v>7982.0479500000001</v>
      </c>
      <c r="G71" s="302">
        <v>1437.9128066666667</v>
      </c>
      <c r="H71" s="302">
        <v>874.94918429999996</v>
      </c>
      <c r="I71" s="302">
        <v>1339.1188771000006</v>
      </c>
      <c r="J71" s="302">
        <v>2382.418056833334</v>
      </c>
      <c r="K71" s="440">
        <f t="shared" ref="K71:K75" si="87">SUM(G71:J71)</f>
        <v>6034.3989249000015</v>
      </c>
      <c r="L71" s="302">
        <v>1567.5267941</v>
      </c>
      <c r="M71" s="302">
        <v>2483.6049792333329</v>
      </c>
      <c r="N71" s="302">
        <v>1670.2028063166676</v>
      </c>
      <c r="O71" s="302">
        <v>1538.4420757500002</v>
      </c>
      <c r="P71" s="440">
        <f t="shared" ref="P71:P75" si="88">SUM(L71:O71)</f>
        <v>7259.7766554</v>
      </c>
      <c r="Q71" s="318">
        <v>1121.7576800000002</v>
      </c>
      <c r="R71" s="304">
        <f t="shared" si="85"/>
        <v>-0.28437734894090883</v>
      </c>
      <c r="S71" s="295"/>
    </row>
    <row r="72" spans="1:23" s="283" customFormat="1" ht="15.95" customHeight="1">
      <c r="A72" s="301" t="s">
        <v>445</v>
      </c>
      <c r="B72" s="302">
        <v>1166.741</v>
      </c>
      <c r="C72" s="302">
        <v>1195.6320000000001</v>
      </c>
      <c r="D72" s="302">
        <v>487.62399500000009</v>
      </c>
      <c r="E72" s="302">
        <v>1930.5772849999992</v>
      </c>
      <c r="F72" s="440">
        <f t="shared" si="86"/>
        <v>4780.5742799999989</v>
      </c>
      <c r="G72" s="302">
        <v>773.66981999999996</v>
      </c>
      <c r="H72" s="302">
        <v>417.49215015898307</v>
      </c>
      <c r="I72" s="302">
        <v>1165.8851562101081</v>
      </c>
      <c r="J72" s="302">
        <v>1189.5580105679007</v>
      </c>
      <c r="K72" s="440">
        <f t="shared" si="87"/>
        <v>3546.6051369369916</v>
      </c>
      <c r="L72" s="302">
        <v>537.60474248213063</v>
      </c>
      <c r="M72" s="302">
        <v>1680.1396415320442</v>
      </c>
      <c r="N72" s="302">
        <v>1519.5169882299997</v>
      </c>
      <c r="O72" s="302">
        <v>1191.037994880001</v>
      </c>
      <c r="P72" s="440">
        <f t="shared" si="88"/>
        <v>4928.2993671241757</v>
      </c>
      <c r="Q72" s="318">
        <v>1574.0282999999999</v>
      </c>
      <c r="R72" s="304">
        <f t="shared" si="85"/>
        <v>1.9278541940174923</v>
      </c>
      <c r="S72" s="295"/>
    </row>
    <row r="73" spans="1:23" s="283" customFormat="1" ht="15.95" customHeight="1">
      <c r="A73" s="301" t="s">
        <v>446</v>
      </c>
      <c r="B73" s="302">
        <v>8951.6249999999964</v>
      </c>
      <c r="C73" s="302">
        <v>9429.4309999999987</v>
      </c>
      <c r="D73" s="302">
        <v>11918.530963112868</v>
      </c>
      <c r="E73" s="302">
        <v>8886.5984245209456</v>
      </c>
      <c r="F73" s="440">
        <f t="shared" si="86"/>
        <v>39186.185387633814</v>
      </c>
      <c r="G73" s="302">
        <v>8594.4291462873334</v>
      </c>
      <c r="H73" s="302">
        <v>5213.8410100041046</v>
      </c>
      <c r="I73" s="302">
        <v>8189.1130032979218</v>
      </c>
      <c r="J73" s="302">
        <v>7447.4234628741233</v>
      </c>
      <c r="K73" s="440">
        <f t="shared" si="87"/>
        <v>29444.806622463482</v>
      </c>
      <c r="L73" s="302">
        <v>6684.2250909098475</v>
      </c>
      <c r="M73" s="302">
        <v>6741.6086528584146</v>
      </c>
      <c r="N73" s="302">
        <v>7578.9869914527071</v>
      </c>
      <c r="O73" s="302">
        <v>6728.1851615664291</v>
      </c>
      <c r="P73" s="440">
        <f t="shared" si="88"/>
        <v>27733.005896787399</v>
      </c>
      <c r="Q73" s="318">
        <v>6838.0996194585823</v>
      </c>
      <c r="R73" s="304">
        <f t="shared" si="85"/>
        <v>2.3020548598519763E-2</v>
      </c>
      <c r="S73" s="295"/>
    </row>
    <row r="74" spans="1:23" s="283" customFormat="1" ht="15.95" customHeight="1">
      <c r="A74" s="301" t="s">
        <v>447</v>
      </c>
      <c r="B74" s="302">
        <v>458.51599999999996</v>
      </c>
      <c r="C74" s="302">
        <v>512.03700000000003</v>
      </c>
      <c r="D74" s="302">
        <v>442.95141999999993</v>
      </c>
      <c r="E74" s="302">
        <v>467.35708</v>
      </c>
      <c r="F74" s="440">
        <f t="shared" si="86"/>
        <v>1880.8615</v>
      </c>
      <c r="G74" s="302">
        <v>446.56685666666658</v>
      </c>
      <c r="H74" s="302">
        <v>498.27576333333343</v>
      </c>
      <c r="I74" s="302">
        <v>453.58246000000003</v>
      </c>
      <c r="J74" s="302">
        <v>510.48144999999988</v>
      </c>
      <c r="K74" s="440">
        <f t="shared" si="87"/>
        <v>1908.9065299999997</v>
      </c>
      <c r="L74" s="302">
        <v>633.14248000000009</v>
      </c>
      <c r="M74" s="302">
        <v>704.53632811581167</v>
      </c>
      <c r="N74" s="302">
        <v>736.1890041360233</v>
      </c>
      <c r="O74" s="302">
        <v>514.42090763924512</v>
      </c>
      <c r="P74" s="440">
        <f t="shared" si="88"/>
        <v>2588.2887198910803</v>
      </c>
      <c r="Q74" s="318">
        <v>830.54566999999997</v>
      </c>
      <c r="R74" s="304">
        <f t="shared" si="85"/>
        <v>0.31178320241598678</v>
      </c>
      <c r="S74" s="295"/>
    </row>
    <row r="75" spans="1:23" s="283" customFormat="1" ht="15.95" customHeight="1">
      <c r="A75" s="312" t="s">
        <v>670</v>
      </c>
      <c r="B75" s="313">
        <v>16703.293999999998</v>
      </c>
      <c r="C75" s="313">
        <v>17556.666000000001</v>
      </c>
      <c r="D75" s="313">
        <v>18925.801665020612</v>
      </c>
      <c r="E75" s="313">
        <v>18951.08151824028</v>
      </c>
      <c r="F75" s="444">
        <f t="shared" si="86"/>
        <v>72136.843183260891</v>
      </c>
      <c r="G75" s="313">
        <v>15755.191741839304</v>
      </c>
      <c r="H75" s="313">
        <v>9910.9443931865262</v>
      </c>
      <c r="I75" s="313">
        <v>14444.952104724405</v>
      </c>
      <c r="J75" s="313">
        <v>16266.33083049024</v>
      </c>
      <c r="K75" s="444">
        <f t="shared" si="87"/>
        <v>56377.419070240474</v>
      </c>
      <c r="L75" s="313">
        <v>13691.73954088635</v>
      </c>
      <c r="M75" s="313">
        <v>15360.53818282736</v>
      </c>
      <c r="N75" s="313">
        <v>14028.369895228076</v>
      </c>
      <c r="O75" s="313">
        <v>14702.583653130148</v>
      </c>
      <c r="P75" s="444">
        <f t="shared" si="88"/>
        <v>57783.231272071935</v>
      </c>
      <c r="Q75" s="323">
        <v>14407.48734719708</v>
      </c>
      <c r="R75" s="315">
        <f t="shared" si="85"/>
        <v>5.2275885337532246E-2</v>
      </c>
      <c r="S75" s="295"/>
    </row>
    <row r="76" spans="1:23" s="137" customFormat="1" ht="11.25" customHeight="1">
      <c r="A76" s="426" t="s">
        <v>671</v>
      </c>
      <c r="B76" s="284"/>
      <c r="C76" s="284"/>
      <c r="D76" s="284"/>
      <c r="E76" s="284"/>
      <c r="F76" s="284"/>
      <c r="G76" s="284"/>
      <c r="H76" s="284"/>
      <c r="I76" s="284"/>
      <c r="J76" s="284"/>
      <c r="K76" s="284"/>
      <c r="L76" s="284"/>
      <c r="M76" s="284"/>
      <c r="N76" s="284"/>
      <c r="O76" s="284"/>
      <c r="P76" s="284"/>
      <c r="Q76" s="284"/>
      <c r="R76" s="285"/>
      <c r="S76" s="290"/>
      <c r="T76"/>
    </row>
    <row r="77" spans="1:23">
      <c r="A77" s="424" t="s">
        <v>448</v>
      </c>
      <c r="B77" s="425"/>
      <c r="C77" s="425"/>
      <c r="D77" s="277"/>
      <c r="E77" s="277"/>
      <c r="F77" s="277"/>
      <c r="G77" s="277"/>
      <c r="H77" s="277"/>
      <c r="I77" s="277"/>
      <c r="J77" s="277"/>
      <c r="K77" s="277"/>
      <c r="L77" s="277"/>
      <c r="M77" s="277"/>
      <c r="N77" s="277"/>
      <c r="O77" s="277"/>
      <c r="P77" s="277"/>
      <c r="Q77" s="277"/>
      <c r="R77" s="277"/>
      <c r="S77" s="7"/>
    </row>
    <row r="78" spans="1:23" s="137" customFormat="1" ht="15.95" customHeight="1">
      <c r="A78" s="414" t="s">
        <v>477</v>
      </c>
      <c r="B78" s="279" t="s">
        <v>451</v>
      </c>
      <c r="C78" s="279" t="s">
        <v>452</v>
      </c>
      <c r="D78" s="279" t="s">
        <v>453</v>
      </c>
      <c r="E78" s="279" t="s">
        <v>454</v>
      </c>
      <c r="F78" s="439" t="s">
        <v>701</v>
      </c>
      <c r="G78" s="279" t="s">
        <v>455</v>
      </c>
      <c r="H78" s="279" t="s">
        <v>456</v>
      </c>
      <c r="I78" s="279" t="s">
        <v>457</v>
      </c>
      <c r="J78" s="279" t="s">
        <v>458</v>
      </c>
      <c r="K78" s="439" t="s">
        <v>706</v>
      </c>
      <c r="L78" s="279" t="s">
        <v>430</v>
      </c>
      <c r="M78" s="279" t="s">
        <v>433</v>
      </c>
      <c r="N78" s="279" t="s">
        <v>434</v>
      </c>
      <c r="O78" s="279" t="s">
        <v>435</v>
      </c>
      <c r="P78" s="439" t="s">
        <v>707</v>
      </c>
      <c r="Q78" s="445" t="s">
        <v>429</v>
      </c>
      <c r="R78" s="279" t="s">
        <v>431</v>
      </c>
    </row>
    <row r="79" spans="1:23" s="283" customFormat="1" ht="15.95" customHeight="1">
      <c r="A79" s="297" t="s">
        <v>436</v>
      </c>
      <c r="B79" s="298">
        <v>433702</v>
      </c>
      <c r="C79" s="298">
        <v>462218</v>
      </c>
      <c r="D79" s="298">
        <v>417166</v>
      </c>
      <c r="E79" s="298">
        <v>368271</v>
      </c>
      <c r="F79" s="443">
        <f>SUM(B79:E79)</f>
        <v>1681357</v>
      </c>
      <c r="G79" s="298">
        <v>408741</v>
      </c>
      <c r="H79" s="298">
        <v>300002</v>
      </c>
      <c r="I79" s="298">
        <v>482932</v>
      </c>
      <c r="J79" s="298">
        <v>420494</v>
      </c>
      <c r="K79" s="443">
        <f>SUM(G79:J79)</f>
        <v>1612169</v>
      </c>
      <c r="L79" s="298">
        <v>580885</v>
      </c>
      <c r="M79" s="298">
        <v>624850.39100000006</v>
      </c>
      <c r="N79" s="298">
        <v>521629</v>
      </c>
      <c r="O79" s="298">
        <v>420565.74399999972</v>
      </c>
      <c r="P79" s="443">
        <f>SUM(L79:O79)</f>
        <v>2147930.1349999998</v>
      </c>
      <c r="Q79" s="316">
        <v>606087</v>
      </c>
      <c r="R79" s="300">
        <f t="shared" ref="R79:R85" si="89">+Q79/L79-1</f>
        <v>4.3385523812802917E-2</v>
      </c>
      <c r="S79" s="295"/>
      <c r="T79" s="137"/>
    </row>
    <row r="80" spans="1:23" s="283" customFormat="1" ht="15.95" customHeight="1">
      <c r="A80" s="305" t="s">
        <v>438</v>
      </c>
      <c r="B80" s="302">
        <v>222157</v>
      </c>
      <c r="C80" s="302">
        <v>246043</v>
      </c>
      <c r="D80" s="302">
        <v>217344</v>
      </c>
      <c r="E80" s="302">
        <v>186691</v>
      </c>
      <c r="F80" s="440">
        <f>SUM(B80:E80)</f>
        <v>872235</v>
      </c>
      <c r="G80" s="302">
        <v>200955</v>
      </c>
      <c r="H80" s="302">
        <v>156457</v>
      </c>
      <c r="I80" s="302">
        <v>252021</v>
      </c>
      <c r="J80" s="302">
        <v>220403</v>
      </c>
      <c r="K80" s="440">
        <f>SUM(G80:J80)</f>
        <v>829836</v>
      </c>
      <c r="L80" s="302">
        <v>310739</v>
      </c>
      <c r="M80" s="302">
        <v>334426</v>
      </c>
      <c r="N80" s="302">
        <v>268837</v>
      </c>
      <c r="O80" s="302">
        <v>204435</v>
      </c>
      <c r="P80" s="440">
        <f>SUM(L80:O80)</f>
        <v>1118437</v>
      </c>
      <c r="Q80" s="318">
        <v>316999</v>
      </c>
      <c r="R80" s="304">
        <f t="shared" si="89"/>
        <v>2.0145524057166853E-2</v>
      </c>
      <c r="S80" s="295"/>
      <c r="T80" s="137"/>
      <c r="U80" s="317"/>
      <c r="V80" s="317"/>
      <c r="W80" s="317"/>
    </row>
    <row r="81" spans="1:25" s="283" customFormat="1" ht="15.95" customHeight="1">
      <c r="A81" s="306" t="s">
        <v>692</v>
      </c>
      <c r="B81" s="307">
        <f>+B80/B$79</f>
        <v>0.51223420689782384</v>
      </c>
      <c r="C81" s="307">
        <f t="shared" ref="C81:O81" si="90">+C80/C$79</f>
        <v>0.53230942974959872</v>
      </c>
      <c r="D81" s="307">
        <f t="shared" si="90"/>
        <v>0.52100123212342331</v>
      </c>
      <c r="E81" s="307">
        <f t="shared" si="90"/>
        <v>0.50693918337311383</v>
      </c>
      <c r="F81" s="441">
        <f>+F80/F$79</f>
        <v>0.51876847094341061</v>
      </c>
      <c r="G81" s="307">
        <f t="shared" si="90"/>
        <v>0.49164385270868349</v>
      </c>
      <c r="H81" s="307">
        <f t="shared" si="90"/>
        <v>0.52151985653428978</v>
      </c>
      <c r="I81" s="307">
        <f t="shared" si="90"/>
        <v>0.5218560791167286</v>
      </c>
      <c r="J81" s="307">
        <f t="shared" si="90"/>
        <v>0.52415254438826708</v>
      </c>
      <c r="K81" s="441">
        <f>+K80/K$79</f>
        <v>0.51473263659082891</v>
      </c>
      <c r="L81" s="307">
        <f t="shared" si="90"/>
        <v>0.53494065090336296</v>
      </c>
      <c r="M81" s="307">
        <f t="shared" si="90"/>
        <v>0.53520971550452301</v>
      </c>
      <c r="N81" s="307">
        <f t="shared" si="90"/>
        <v>0.51537970473267403</v>
      </c>
      <c r="O81" s="307">
        <f t="shared" si="90"/>
        <v>0.48609522510230918</v>
      </c>
      <c r="P81" s="441">
        <f>+P80/P$79</f>
        <v>0.52070455261804882</v>
      </c>
      <c r="Q81" s="319">
        <f>+Q80/Q79</f>
        <v>0.52302557223632906</v>
      </c>
      <c r="R81" s="320">
        <f>+Q81-L81</f>
        <v>-1.1915078667033896E-2</v>
      </c>
      <c r="S81" s="294"/>
      <c r="U81" s="317"/>
      <c r="V81" s="317"/>
      <c r="W81" s="317"/>
    </row>
    <row r="82" spans="1:25" s="283" customFormat="1" ht="15.95" customHeight="1">
      <c r="A82" s="308" t="s">
        <v>440</v>
      </c>
      <c r="B82" s="309">
        <v>52227</v>
      </c>
      <c r="C82" s="309">
        <v>61135</v>
      </c>
      <c r="D82" s="309">
        <v>43726</v>
      </c>
      <c r="E82" s="309">
        <v>28565</v>
      </c>
      <c r="F82" s="442">
        <f t="shared" ref="F82:F85" si="91">SUM(B82:E82)</f>
        <v>185653</v>
      </c>
      <c r="G82" s="309">
        <v>21428</v>
      </c>
      <c r="H82" s="309">
        <v>11731</v>
      </c>
      <c r="I82" s="309">
        <v>85204</v>
      </c>
      <c r="J82" s="309">
        <v>27092</v>
      </c>
      <c r="K82" s="442">
        <f t="shared" ref="K82:K85" si="92">SUM(G82:J82)</f>
        <v>145455</v>
      </c>
      <c r="L82" s="309">
        <v>120069</v>
      </c>
      <c r="M82" s="309">
        <v>109180</v>
      </c>
      <c r="N82" s="309">
        <v>52486</v>
      </c>
      <c r="O82" s="309">
        <v>-21923</v>
      </c>
      <c r="P82" s="442">
        <f>SUM(L82:O82)</f>
        <v>259812</v>
      </c>
      <c r="Q82" s="321">
        <v>105369</v>
      </c>
      <c r="R82" s="300">
        <f t="shared" si="89"/>
        <v>-0.12242960297828753</v>
      </c>
      <c r="S82" s="295"/>
    </row>
    <row r="83" spans="1:25" s="283" customFormat="1" ht="15.95" customHeight="1">
      <c r="A83" s="306" t="s">
        <v>693</v>
      </c>
      <c r="B83" s="307">
        <f>+B82/B$79</f>
        <v>0.12042139533596802</v>
      </c>
      <c r="C83" s="307">
        <f t="shared" ref="C83:O83" si="93">+C82/C$79</f>
        <v>0.13226442933853721</v>
      </c>
      <c r="D83" s="307">
        <f t="shared" si="93"/>
        <v>0.10481678756178596</v>
      </c>
      <c r="E83" s="307">
        <f t="shared" si="93"/>
        <v>7.7565162611229227E-2</v>
      </c>
      <c r="F83" s="441">
        <f t="shared" si="93"/>
        <v>0.11041854882692968</v>
      </c>
      <c r="G83" s="307">
        <f t="shared" si="93"/>
        <v>5.242439588883914E-2</v>
      </c>
      <c r="H83" s="307">
        <f t="shared" si="93"/>
        <v>3.910307264618236E-2</v>
      </c>
      <c r="I83" s="307">
        <f t="shared" si="93"/>
        <v>0.1764306361972286</v>
      </c>
      <c r="J83" s="307">
        <f t="shared" si="93"/>
        <v>6.4428981150741749E-2</v>
      </c>
      <c r="K83" s="441">
        <f t="shared" ref="K83" si="94">+K82/K$79</f>
        <v>9.0223171392081108E-2</v>
      </c>
      <c r="L83" s="307">
        <f t="shared" si="93"/>
        <v>0.20670012136653554</v>
      </c>
      <c r="M83" s="307">
        <f t="shared" si="93"/>
        <v>0.17472982584722427</v>
      </c>
      <c r="N83" s="307">
        <f t="shared" si="93"/>
        <v>0.1006194057462296</v>
      </c>
      <c r="O83" s="307">
        <f t="shared" si="93"/>
        <v>-5.2127402939408242E-2</v>
      </c>
      <c r="P83" s="441">
        <f>+P82/P$79</f>
        <v>0.12095924153510702</v>
      </c>
      <c r="Q83" s="319">
        <f>+Q82/Q79</f>
        <v>0.17385127877680928</v>
      </c>
      <c r="R83" s="320">
        <f>+Q83-L83</f>
        <v>-3.2848842589726257E-2</v>
      </c>
      <c r="S83" s="295"/>
    </row>
    <row r="84" spans="1:25" s="283" customFormat="1" ht="15.95" customHeight="1">
      <c r="A84" s="308" t="s">
        <v>691</v>
      </c>
      <c r="B84" s="309">
        <v>36039</v>
      </c>
      <c r="C84" s="309">
        <v>38902</v>
      </c>
      <c r="D84" s="309">
        <v>30006</v>
      </c>
      <c r="E84" s="309">
        <v>19618</v>
      </c>
      <c r="F84" s="442">
        <f t="shared" si="91"/>
        <v>124565</v>
      </c>
      <c r="G84" s="309">
        <v>8975</v>
      </c>
      <c r="H84" s="309">
        <v>3753</v>
      </c>
      <c r="I84" s="309">
        <v>64046</v>
      </c>
      <c r="J84" s="309">
        <v>23237</v>
      </c>
      <c r="K84" s="442">
        <f t="shared" si="92"/>
        <v>100011</v>
      </c>
      <c r="L84" s="309">
        <v>86627</v>
      </c>
      <c r="M84" s="309">
        <v>82520</v>
      </c>
      <c r="N84" s="309">
        <v>39925</v>
      </c>
      <c r="O84" s="309">
        <v>-24832</v>
      </c>
      <c r="P84" s="442">
        <f>SUM(L84:O84)</f>
        <v>184240</v>
      </c>
      <c r="Q84" s="321">
        <v>81847</v>
      </c>
      <c r="R84" s="300">
        <f t="shared" si="89"/>
        <v>-5.5179101204012593E-2</v>
      </c>
      <c r="S84" s="295"/>
      <c r="W84" s="434"/>
      <c r="X84" s="434"/>
      <c r="Y84" s="434"/>
    </row>
    <row r="85" spans="1:25" s="283" customFormat="1" ht="15.95" customHeight="1">
      <c r="A85" s="312" t="s">
        <v>449</v>
      </c>
      <c r="B85" s="313">
        <v>64225</v>
      </c>
      <c r="C85" s="313">
        <v>75655</v>
      </c>
      <c r="D85" s="313">
        <v>55767</v>
      </c>
      <c r="E85" s="313">
        <v>44479</v>
      </c>
      <c r="F85" s="444">
        <f t="shared" si="91"/>
        <v>240126</v>
      </c>
      <c r="G85" s="313">
        <v>52808</v>
      </c>
      <c r="H85" s="313">
        <v>33071</v>
      </c>
      <c r="I85" s="313">
        <v>99239</v>
      </c>
      <c r="J85" s="313">
        <v>48066</v>
      </c>
      <c r="K85" s="444">
        <f t="shared" si="92"/>
        <v>233184</v>
      </c>
      <c r="L85" s="313">
        <v>135284</v>
      </c>
      <c r="M85" s="313">
        <v>127764</v>
      </c>
      <c r="N85" s="313">
        <v>70254</v>
      </c>
      <c r="O85" s="313">
        <v>-4965</v>
      </c>
      <c r="P85" s="444">
        <f>SUM(L85:O85)</f>
        <v>328337</v>
      </c>
      <c r="Q85" s="323">
        <v>119998</v>
      </c>
      <c r="R85" s="315">
        <f t="shared" si="89"/>
        <v>-0.11299192809201386</v>
      </c>
      <c r="S85" s="295"/>
    </row>
    <row r="86" spans="1:25" ht="11.25" customHeight="1">
      <c r="A86" s="431" t="s">
        <v>673</v>
      </c>
      <c r="B86" s="277"/>
      <c r="C86" s="277"/>
      <c r="D86" s="277"/>
      <c r="E86" s="277"/>
      <c r="F86" s="277"/>
      <c r="G86" s="277"/>
      <c r="H86" s="277"/>
      <c r="I86" s="277"/>
      <c r="J86" s="277"/>
      <c r="K86" s="277"/>
      <c r="L86" s="277"/>
      <c r="M86" s="277"/>
      <c r="N86" s="277"/>
      <c r="O86" s="277"/>
      <c r="P86" s="277"/>
      <c r="Q86" s="277"/>
      <c r="R86" s="277"/>
      <c r="S86" s="277"/>
    </row>
    <row r="87" spans="1:25" ht="16.5" customHeight="1">
      <c r="A87" s="424" t="s">
        <v>659</v>
      </c>
      <c r="B87" s="425"/>
      <c r="C87" s="425"/>
      <c r="D87" s="277"/>
      <c r="E87" s="277"/>
      <c r="F87" s="277"/>
      <c r="G87" s="277"/>
      <c r="H87" s="277"/>
      <c r="I87" s="277"/>
      <c r="J87" s="277"/>
      <c r="K87" s="277"/>
      <c r="L87" s="277"/>
      <c r="M87" s="277"/>
      <c r="N87" s="277"/>
      <c r="O87" s="277"/>
      <c r="P87" s="277"/>
      <c r="Q87" s="277"/>
      <c r="R87" s="277"/>
      <c r="S87" s="277"/>
    </row>
    <row r="88" spans="1:25" ht="15" customHeight="1">
      <c r="A88" s="293" t="s">
        <v>816</v>
      </c>
      <c r="B88" s="277"/>
      <c r="C88" s="277"/>
      <c r="D88" s="277"/>
      <c r="E88" s="277"/>
      <c r="F88" s="277"/>
      <c r="G88" s="277"/>
      <c r="H88" s="277"/>
      <c r="I88" s="277"/>
      <c r="J88" s="277"/>
      <c r="K88" s="277"/>
      <c r="L88" s="277"/>
      <c r="M88" s="277"/>
      <c r="N88" s="277"/>
      <c r="O88" s="277"/>
      <c r="P88" s="277"/>
      <c r="Q88" s="277"/>
      <c r="R88" s="277"/>
      <c r="S88" s="277"/>
    </row>
    <row r="89" spans="1:25" ht="11.25" customHeight="1">
      <c r="A89" s="276"/>
      <c r="B89" s="277"/>
      <c r="C89" s="277"/>
      <c r="D89" s="277"/>
      <c r="E89" s="277"/>
      <c r="F89" s="277"/>
      <c r="G89" s="277"/>
      <c r="H89" s="277"/>
      <c r="I89" s="277"/>
      <c r="J89" s="277"/>
      <c r="K89" s="277"/>
      <c r="L89" s="277"/>
      <c r="M89" s="277"/>
      <c r="N89" s="277"/>
      <c r="O89" s="277"/>
      <c r="P89" s="277"/>
      <c r="Q89" s="277"/>
      <c r="R89" s="277"/>
      <c r="S89" s="277"/>
    </row>
    <row r="90" spans="1:25">
      <c r="A90" s="424" t="s">
        <v>460</v>
      </c>
      <c r="B90" s="425"/>
      <c r="C90" s="425"/>
      <c r="D90" s="277"/>
      <c r="E90" s="277"/>
      <c r="F90" s="277"/>
      <c r="G90" s="277"/>
      <c r="H90" s="277"/>
      <c r="I90" s="277"/>
      <c r="J90" s="277"/>
      <c r="K90" s="277"/>
      <c r="L90" s="277"/>
      <c r="M90" s="277"/>
      <c r="N90" s="277"/>
      <c r="O90" s="277"/>
      <c r="P90" s="277"/>
      <c r="Q90" s="277"/>
      <c r="R90" s="277"/>
      <c r="S90" s="277"/>
    </row>
    <row r="91" spans="1:25">
      <c r="A91" s="286" t="s">
        <v>461</v>
      </c>
      <c r="B91" s="277"/>
      <c r="C91" s="277"/>
      <c r="D91" s="277"/>
      <c r="E91" s="277"/>
      <c r="F91" s="277"/>
      <c r="G91" s="277"/>
      <c r="H91" s="277"/>
      <c r="I91" s="277"/>
      <c r="J91" s="277"/>
      <c r="K91" s="277"/>
      <c r="L91" s="277"/>
      <c r="M91" s="277"/>
      <c r="N91" s="277"/>
      <c r="O91" s="277"/>
      <c r="P91" s="277"/>
      <c r="Q91" s="277"/>
      <c r="R91" s="277"/>
      <c r="S91" s="277"/>
    </row>
    <row r="92" spans="1:25" s="288" customFormat="1" ht="15.95" customHeight="1">
      <c r="A92" s="291"/>
      <c r="B92" s="291"/>
      <c r="C92" s="291"/>
      <c r="D92" s="291"/>
      <c r="E92" s="292"/>
      <c r="F92" s="296" t="s">
        <v>708</v>
      </c>
      <c r="G92" s="296" t="s">
        <v>709</v>
      </c>
      <c r="H92" s="296" t="s">
        <v>701</v>
      </c>
      <c r="I92" s="296" t="s">
        <v>706</v>
      </c>
      <c r="J92" s="296" t="s">
        <v>707</v>
      </c>
      <c r="K92" s="290"/>
      <c r="L92" s="290"/>
      <c r="M92" s="290"/>
      <c r="N92" s="290"/>
      <c r="O92" s="290"/>
      <c r="P92" s="290"/>
      <c r="Q92" s="290"/>
      <c r="R92" s="293"/>
      <c r="S92" s="293"/>
    </row>
    <row r="93" spans="1:25" s="333" customFormat="1" ht="15.95" customHeight="1">
      <c r="A93" s="487" t="s">
        <v>658</v>
      </c>
      <c r="B93" s="487"/>
      <c r="C93" s="487"/>
      <c r="D93" s="487"/>
      <c r="E93" s="331" t="s">
        <v>463</v>
      </c>
      <c r="F93" s="332">
        <v>62388</v>
      </c>
      <c r="G93" s="332">
        <v>143546</v>
      </c>
      <c r="H93" s="332">
        <v>266779</v>
      </c>
      <c r="I93" s="332">
        <v>139030</v>
      </c>
      <c r="J93" s="332">
        <v>235232</v>
      </c>
      <c r="K93" s="282"/>
      <c r="L93" s="282"/>
      <c r="M93" s="282"/>
      <c r="N93" s="282"/>
      <c r="O93" s="282"/>
      <c r="P93" s="282"/>
      <c r="Q93" s="282"/>
      <c r="R93" s="281"/>
      <c r="S93" s="281"/>
    </row>
    <row r="94" spans="1:25" s="333" customFormat="1" ht="15.95" customHeight="1">
      <c r="A94" s="334" t="s">
        <v>464</v>
      </c>
      <c r="B94" s="334"/>
      <c r="C94" s="334"/>
      <c r="D94" s="334"/>
      <c r="E94" s="335" t="s">
        <v>465</v>
      </c>
      <c r="F94" s="336">
        <v>5150</v>
      </c>
      <c r="G94" s="336">
        <v>2349</v>
      </c>
      <c r="H94" s="336">
        <v>4382</v>
      </c>
      <c r="I94" s="336">
        <v>2306</v>
      </c>
      <c r="J94" s="336">
        <v>3914</v>
      </c>
      <c r="K94" s="282"/>
      <c r="L94" s="282"/>
      <c r="M94" s="282"/>
      <c r="N94" s="282"/>
      <c r="O94" s="282"/>
      <c r="P94" s="282"/>
      <c r="Q94" s="282"/>
      <c r="R94" s="281"/>
      <c r="S94" s="281"/>
    </row>
    <row r="95" spans="1:25" s="333" customFormat="1" ht="15.95" customHeight="1">
      <c r="A95" s="337" t="s">
        <v>466</v>
      </c>
      <c r="B95" s="337"/>
      <c r="C95" s="337"/>
      <c r="D95" s="337"/>
      <c r="E95" s="338"/>
      <c r="F95" s="339" t="s">
        <v>467</v>
      </c>
      <c r="G95" s="339" t="s">
        <v>467</v>
      </c>
      <c r="H95" s="339" t="s">
        <v>467</v>
      </c>
      <c r="I95" s="339" t="s">
        <v>467</v>
      </c>
      <c r="J95" s="339" t="s">
        <v>467</v>
      </c>
      <c r="K95" s="282"/>
      <c r="L95" s="282"/>
      <c r="M95" s="282"/>
      <c r="N95" s="282"/>
      <c r="O95" s="282"/>
      <c r="P95" s="282"/>
      <c r="Q95" s="282"/>
      <c r="R95" s="281"/>
      <c r="S95" s="281"/>
    </row>
    <row r="96" spans="1:25" s="333" customFormat="1" ht="15.95" customHeight="1">
      <c r="A96" s="340" t="s">
        <v>468</v>
      </c>
      <c r="B96" s="340"/>
      <c r="C96" s="340"/>
      <c r="D96" s="340"/>
      <c r="E96" s="341" t="s">
        <v>463</v>
      </c>
      <c r="F96" s="342">
        <v>3055</v>
      </c>
      <c r="G96" s="342">
        <v>3055</v>
      </c>
      <c r="H96" s="342">
        <v>13320</v>
      </c>
      <c r="I96" s="342">
        <v>11118</v>
      </c>
      <c r="J96" s="342">
        <v>60096</v>
      </c>
      <c r="K96" s="282"/>
      <c r="L96" s="282"/>
      <c r="M96" s="282"/>
      <c r="N96" s="282"/>
      <c r="O96" s="282"/>
      <c r="P96" s="282"/>
      <c r="Q96" s="282"/>
      <c r="R96" s="281"/>
      <c r="S96" s="281"/>
    </row>
    <row r="97" spans="1:19" s="333" customFormat="1" ht="15.95" customHeight="1">
      <c r="A97" s="334" t="s">
        <v>469</v>
      </c>
      <c r="B97" s="334"/>
      <c r="C97" s="334"/>
      <c r="D97" s="334"/>
      <c r="E97" s="335" t="s">
        <v>465</v>
      </c>
      <c r="F97" s="343">
        <v>250</v>
      </c>
      <c r="G97" s="343">
        <v>50</v>
      </c>
      <c r="H97" s="343">
        <v>219</v>
      </c>
      <c r="I97" s="343">
        <v>185</v>
      </c>
      <c r="J97" s="336">
        <v>1000</v>
      </c>
      <c r="K97" s="282"/>
      <c r="L97" s="282"/>
      <c r="M97" s="282"/>
      <c r="N97" s="282"/>
      <c r="O97" s="282"/>
      <c r="P97" s="282"/>
      <c r="Q97" s="282"/>
      <c r="R97" s="281"/>
      <c r="S97" s="281"/>
    </row>
    <row r="98" spans="1:19" s="333" customFormat="1" ht="15.95" customHeight="1">
      <c r="A98" s="344" t="s">
        <v>668</v>
      </c>
      <c r="B98" s="344"/>
      <c r="C98" s="344"/>
      <c r="D98" s="344"/>
      <c r="E98" s="345" t="s">
        <v>470</v>
      </c>
      <c r="F98" s="346">
        <f t="shared" ref="F98:I98" si="95">+F96/F93</f>
        <v>4.8967750208373406E-2</v>
      </c>
      <c r="G98" s="346">
        <f t="shared" si="95"/>
        <v>2.1282376381090384E-2</v>
      </c>
      <c r="H98" s="346">
        <f t="shared" si="95"/>
        <v>4.9928967422473283E-2</v>
      </c>
      <c r="I98" s="346">
        <f t="shared" si="95"/>
        <v>7.9968352154211317E-2</v>
      </c>
      <c r="J98" s="347">
        <f>+J96/J93</f>
        <v>0.25547544551761664</v>
      </c>
      <c r="K98" s="282"/>
      <c r="L98" s="282"/>
      <c r="M98" s="282"/>
      <c r="N98" s="282"/>
      <c r="O98" s="282"/>
      <c r="P98" s="282"/>
      <c r="Q98" s="282"/>
      <c r="R98" s="281"/>
      <c r="S98" s="281"/>
    </row>
    <row r="99" spans="1:19" ht="15.95" customHeight="1">
      <c r="A99" s="334" t="s">
        <v>471</v>
      </c>
      <c r="B99" s="334"/>
      <c r="C99" s="334"/>
      <c r="D99" s="334"/>
      <c r="E99" s="335" t="s">
        <v>470</v>
      </c>
      <c r="F99" s="348">
        <v>3.0000000000000001E-3</v>
      </c>
      <c r="G99" s="348">
        <v>1E-3</v>
      </c>
      <c r="H99" s="348">
        <v>4.0000000000000001E-3</v>
      </c>
      <c r="I99" s="348">
        <v>4.0000000000000001E-3</v>
      </c>
      <c r="J99" s="348">
        <v>2.9000000000000001E-2</v>
      </c>
      <c r="K99" s="282"/>
      <c r="L99" s="282"/>
      <c r="M99" s="282"/>
      <c r="N99" s="282"/>
      <c r="O99" s="282"/>
      <c r="P99" s="282"/>
      <c r="Q99" s="282"/>
      <c r="R99" s="7"/>
      <c r="S99" s="7"/>
    </row>
    <row r="100" spans="1:19" ht="11.25" customHeight="1">
      <c r="A100" s="281" t="s">
        <v>667</v>
      </c>
      <c r="B100" s="277"/>
      <c r="C100" s="277"/>
      <c r="D100" s="277"/>
      <c r="E100" s="277"/>
      <c r="F100" s="277"/>
      <c r="G100" s="277"/>
      <c r="H100" s="277"/>
      <c r="I100" s="277"/>
      <c r="J100" s="277"/>
      <c r="K100" s="277"/>
      <c r="L100" s="277"/>
      <c r="M100" s="277"/>
      <c r="N100" s="277"/>
      <c r="O100" s="277"/>
      <c r="P100" s="277"/>
      <c r="Q100" s="277"/>
      <c r="R100" s="277"/>
      <c r="S100" s="277"/>
    </row>
    <row r="101" spans="1:19" ht="11.25" customHeight="1">
      <c r="A101" s="281"/>
      <c r="B101" s="277"/>
      <c r="C101" s="277"/>
      <c r="D101" s="277"/>
      <c r="E101" s="277"/>
      <c r="F101" s="277"/>
      <c r="G101" s="277"/>
      <c r="H101" s="277"/>
      <c r="I101" s="277"/>
      <c r="J101" s="277"/>
      <c r="K101" s="277"/>
      <c r="L101" s="277"/>
      <c r="M101" s="277"/>
      <c r="N101" s="277"/>
      <c r="O101" s="277"/>
      <c r="P101" s="277"/>
      <c r="Q101" s="277"/>
      <c r="R101" s="277"/>
      <c r="S101" s="277"/>
    </row>
    <row r="102" spans="1:19">
      <c r="A102" s="286" t="s">
        <v>462</v>
      </c>
      <c r="B102" s="277"/>
      <c r="C102" s="277"/>
      <c r="D102" s="277"/>
      <c r="E102" s="277"/>
      <c r="F102" s="277"/>
      <c r="G102" s="277"/>
      <c r="H102" s="277"/>
      <c r="I102" s="277"/>
      <c r="J102" s="277"/>
      <c r="K102" s="277"/>
      <c r="L102" s="277"/>
      <c r="M102" s="277"/>
      <c r="N102" s="277"/>
      <c r="O102" s="277"/>
      <c r="P102" s="277"/>
      <c r="Q102" s="277"/>
      <c r="R102" s="277"/>
      <c r="S102" s="277"/>
    </row>
    <row r="103" spans="1:19" s="137" customFormat="1" ht="15.95" customHeight="1">
      <c r="A103" s="275"/>
      <c r="B103" s="279" t="s">
        <v>451</v>
      </c>
      <c r="C103" s="279" t="s">
        <v>452</v>
      </c>
      <c r="D103" s="279" t="s">
        <v>453</v>
      </c>
      <c r="E103" s="279" t="s">
        <v>454</v>
      </c>
      <c r="F103" s="439" t="s">
        <v>701</v>
      </c>
      <c r="G103" s="279" t="s">
        <v>455</v>
      </c>
      <c r="H103" s="279" t="s">
        <v>456</v>
      </c>
      <c r="I103" s="279" t="s">
        <v>457</v>
      </c>
      <c r="J103" s="279" t="s">
        <v>458</v>
      </c>
      <c r="K103" s="439" t="s">
        <v>706</v>
      </c>
      <c r="L103" s="279" t="s">
        <v>430</v>
      </c>
      <c r="M103" s="279" t="s">
        <v>433</v>
      </c>
      <c r="N103" s="279" t="s">
        <v>434</v>
      </c>
      <c r="O103" s="279" t="s">
        <v>435</v>
      </c>
      <c r="P103" s="439" t="s">
        <v>707</v>
      </c>
      <c r="Q103" s="445" t="s">
        <v>429</v>
      </c>
      <c r="R103" s="279" t="s">
        <v>431</v>
      </c>
      <c r="S103" s="277"/>
    </row>
    <row r="104" spans="1:19" s="283" customFormat="1" ht="15.95" customHeight="1">
      <c r="A104" s="324" t="s">
        <v>472</v>
      </c>
      <c r="B104" s="325">
        <v>1125.08</v>
      </c>
      <c r="C104" s="325">
        <v>1166.25</v>
      </c>
      <c r="D104" s="325">
        <v>1193.24</v>
      </c>
      <c r="E104" s="325">
        <v>1175.81</v>
      </c>
      <c r="F104" s="447" t="s">
        <v>710</v>
      </c>
      <c r="G104" s="325">
        <v>1194.5999999999999</v>
      </c>
      <c r="H104" s="325">
        <v>1220.81</v>
      </c>
      <c r="I104" s="325">
        <v>1188.54</v>
      </c>
      <c r="J104" s="325">
        <v>1117.6400000000001</v>
      </c>
      <c r="K104" s="447" t="s">
        <v>710</v>
      </c>
      <c r="L104" s="325">
        <v>1113.6199999999999</v>
      </c>
      <c r="M104" s="325">
        <v>1121.23</v>
      </c>
      <c r="N104" s="325">
        <v>1157.3499999999999</v>
      </c>
      <c r="O104" s="325">
        <v>1183.17</v>
      </c>
      <c r="P104" s="447" t="s">
        <v>710</v>
      </c>
      <c r="Q104" s="326">
        <v>1204.95</v>
      </c>
      <c r="R104" s="304">
        <f t="shared" ref="R104:R105" si="96">+Q104/L104-1</f>
        <v>8.2011817316499425E-2</v>
      </c>
      <c r="S104" s="282"/>
    </row>
    <row r="105" spans="1:19" s="283" customFormat="1" ht="15.95" customHeight="1">
      <c r="A105" s="327" t="s">
        <v>473</v>
      </c>
      <c r="B105" s="328">
        <v>1125.08</v>
      </c>
      <c r="C105" s="328">
        <v>1146.01</v>
      </c>
      <c r="D105" s="328">
        <v>1162.18</v>
      </c>
      <c r="E105" s="328">
        <v>1165.6500000000001</v>
      </c>
      <c r="F105" s="448">
        <f>+E105</f>
        <v>1165.6500000000001</v>
      </c>
      <c r="G105" s="328">
        <v>1194.5999999999999</v>
      </c>
      <c r="H105" s="328">
        <v>1207.0999999999999</v>
      </c>
      <c r="I105" s="328">
        <v>1200.74</v>
      </c>
      <c r="J105" s="328">
        <v>1180.05</v>
      </c>
      <c r="K105" s="448">
        <f>+J105</f>
        <v>1180.05</v>
      </c>
      <c r="L105" s="328">
        <v>1113.6199999999999</v>
      </c>
      <c r="M105" s="328">
        <v>1117.49</v>
      </c>
      <c r="N105" s="328">
        <v>1130.78</v>
      </c>
      <c r="O105" s="328">
        <v>1144.19</v>
      </c>
      <c r="P105" s="448">
        <f>+O105</f>
        <v>1144.19</v>
      </c>
      <c r="Q105" s="329">
        <f>+Q104</f>
        <v>1204.95</v>
      </c>
      <c r="R105" s="330">
        <f t="shared" si="96"/>
        <v>8.2011817316499425E-2</v>
      </c>
      <c r="S105" s="282"/>
    </row>
    <row r="106" spans="1:19" s="137" customFormat="1" ht="12">
      <c r="A106" s="288"/>
      <c r="B106" s="289"/>
      <c r="C106" s="289"/>
      <c r="D106" s="289"/>
      <c r="E106" s="289"/>
      <c r="F106" s="289"/>
      <c r="G106" s="289"/>
      <c r="H106" s="289"/>
      <c r="I106" s="289"/>
      <c r="J106" s="289"/>
      <c r="K106" s="289"/>
      <c r="L106" s="289"/>
      <c r="M106" s="289"/>
      <c r="N106" s="289"/>
      <c r="O106" s="289"/>
      <c r="P106" s="289"/>
      <c r="Q106" s="289"/>
      <c r="R106" s="289"/>
      <c r="S106" s="289"/>
    </row>
    <row r="108" spans="1:19">
      <c r="B108" s="432"/>
      <c r="C108" s="432"/>
      <c r="D108" s="432"/>
      <c r="E108" s="432"/>
      <c r="F108" s="432"/>
      <c r="G108" s="432"/>
      <c r="H108" s="432"/>
      <c r="I108" s="432"/>
      <c r="J108" s="432"/>
      <c r="K108" s="432"/>
      <c r="L108" s="432"/>
      <c r="M108" s="432"/>
      <c r="N108" s="432"/>
      <c r="O108" s="432"/>
      <c r="P108" s="432"/>
    </row>
    <row r="109" spans="1:19">
      <c r="B109" s="432"/>
      <c r="C109" s="432"/>
      <c r="D109" s="432"/>
      <c r="E109" s="432"/>
      <c r="F109" s="432"/>
      <c r="G109" s="432"/>
      <c r="H109" s="432"/>
      <c r="I109" s="432"/>
      <c r="J109" s="432"/>
      <c r="K109" s="432"/>
      <c r="L109" s="432"/>
      <c r="M109" s="432"/>
      <c r="N109" s="432"/>
      <c r="O109" s="432"/>
      <c r="P109" s="432"/>
    </row>
  </sheetData>
  <sortState columnSort="1" ref="F92:J99">
    <sortCondition ref="C92:G92"/>
  </sortState>
  <mergeCells count="1">
    <mergeCell ref="A93:D93"/>
  </mergeCells>
  <phoneticPr fontId="65" type="noConversion"/>
  <pageMargins left="0.7" right="0.7" top="0.75" bottom="0.75" header="0.3" footer="0.3"/>
  <pageSetup paperSize="9" scale="87" fitToHeight="0" orientation="landscape" r:id="rId1"/>
  <headerFooter>
    <oddFooter>&amp;C&amp;G</oddFooter>
  </headerFooter>
  <rowBreaks count="4" manualBreakCount="4">
    <brk id="16" max="16383" man="1"/>
    <brk id="37" max="16383" man="1"/>
    <brk id="57" max="16383" man="1"/>
    <brk id="76" max="16383" man="1"/>
  </rowBreaks>
  <ignoredErrors>
    <ignoredError sqref="F10:Q10 F67:S104 N61:S66 F56:S60 F55:P55 R55:S55 F13:R13 F11:R11 F16:S33 F14:R14 F15:P15 R15 F35:S43 F34:P34 R34:S34 F9:Q9 F12:R12 F45:S47 F44 P44:S44 K44 F49:S54 F48:Q48 S48" formula="1"/>
    <ignoredError sqref="F61:M66" formula="1" formulaRange="1"/>
    <ignoredError sqref="C61:E66"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F84"/>
  <sheetViews>
    <sheetView zoomScaleNormal="100" zoomScaleSheetLayoutView="85" workbookViewId="0">
      <pane xSplit="2" ySplit="5" topLeftCell="C39" activePane="bottomRight" state="frozen"/>
      <selection activeCell="V50" sqref="V50"/>
      <selection pane="topRight" activeCell="V50" sqref="V50"/>
      <selection pane="bottomLeft" activeCell="V50" sqref="V50"/>
      <selection pane="bottomRight" activeCell="F45" sqref="F45"/>
    </sheetView>
  </sheetViews>
  <sheetFormatPr defaultRowHeight="13.5"/>
  <cols>
    <col min="1" max="1" width="23.375" style="170" customWidth="1"/>
    <col min="2" max="2" width="32.375" style="170" customWidth="1"/>
    <col min="3" max="22" width="6.25" style="1" customWidth="1"/>
    <col min="23" max="23" width="5.875" style="1" customWidth="1"/>
    <col min="24" max="24" width="5.75" style="1" customWidth="1"/>
    <col min="25" max="26" width="2.875" style="1" customWidth="1"/>
    <col min="27" max="27" width="2.875" style="377" customWidth="1"/>
    <col min="28" max="28" width="2.875" style="1" customWidth="1"/>
    <col min="29" max="29" width="32.5" style="1" hidden="1" customWidth="1"/>
    <col min="30" max="30" width="24.5" style="1" hidden="1" customWidth="1"/>
    <col min="31" max="31" width="51.625" style="1" hidden="1" customWidth="1"/>
    <col min="32" max="16384" width="9" style="1"/>
  </cols>
  <sheetData>
    <row r="1" spans="1:32" ht="20.25">
      <c r="A1" s="174" t="s">
        <v>86</v>
      </c>
      <c r="B1" s="174"/>
      <c r="C1" s="3"/>
      <c r="D1" s="3"/>
      <c r="E1" s="3"/>
      <c r="F1" s="3"/>
      <c r="G1" s="3"/>
      <c r="H1" s="3"/>
      <c r="I1" s="3"/>
      <c r="J1" s="3"/>
      <c r="K1" s="3"/>
      <c r="L1" s="3"/>
      <c r="M1" s="3"/>
      <c r="N1" s="3"/>
      <c r="O1" s="3"/>
      <c r="P1" s="3"/>
      <c r="Q1" s="3"/>
      <c r="R1" s="3"/>
      <c r="S1" s="3"/>
      <c r="T1" s="3"/>
      <c r="U1" s="3"/>
      <c r="V1" s="3"/>
      <c r="W1" s="3"/>
      <c r="X1" s="3"/>
    </row>
    <row r="2" spans="1:32" ht="12.75">
      <c r="A2" s="175" t="s">
        <v>2</v>
      </c>
      <c r="B2" s="175"/>
      <c r="C2" s="3"/>
      <c r="D2" s="3"/>
      <c r="E2" s="3"/>
      <c r="F2" s="3"/>
      <c r="G2" s="3"/>
      <c r="H2" s="3"/>
      <c r="I2" s="3"/>
      <c r="J2" s="3"/>
      <c r="K2" s="3"/>
      <c r="L2" s="3"/>
      <c r="M2" s="3"/>
      <c r="N2" s="3"/>
      <c r="O2" s="3"/>
      <c r="P2" s="3"/>
      <c r="Q2" s="3"/>
      <c r="R2" s="3"/>
      <c r="S2" s="3"/>
      <c r="T2" s="3"/>
      <c r="U2" s="3"/>
      <c r="V2" s="3"/>
      <c r="W2" s="3"/>
      <c r="X2" s="3"/>
    </row>
    <row r="3" spans="1:32" ht="12.75">
      <c r="A3" s="175" t="s">
        <v>3</v>
      </c>
      <c r="B3" s="175"/>
      <c r="C3" s="3"/>
      <c r="D3" s="3"/>
      <c r="E3" s="3"/>
      <c r="F3" s="3"/>
      <c r="G3" s="3"/>
      <c r="H3" s="3"/>
      <c r="I3" s="3"/>
      <c r="J3" s="3"/>
      <c r="K3" s="3"/>
      <c r="L3" s="3"/>
      <c r="M3" s="3"/>
      <c r="N3" s="3"/>
      <c r="O3" s="3"/>
      <c r="P3" s="3"/>
      <c r="Q3" s="3"/>
      <c r="R3" s="361" t="s">
        <v>518</v>
      </c>
      <c r="S3" s="3"/>
      <c r="T3" s="3"/>
      <c r="U3" s="3"/>
      <c r="V3" s="3"/>
      <c r="W3" s="3"/>
      <c r="X3" s="3"/>
    </row>
    <row r="4" spans="1:32" ht="17.25">
      <c r="A4" s="176" t="s">
        <v>9</v>
      </c>
      <c r="B4" s="176"/>
      <c r="C4" s="12"/>
      <c r="D4" s="12"/>
      <c r="E4" s="12"/>
      <c r="F4" s="12"/>
      <c r="G4" s="12"/>
      <c r="H4" s="12"/>
      <c r="I4" s="12"/>
      <c r="J4" s="12"/>
      <c r="K4" s="12"/>
      <c r="L4" s="12"/>
      <c r="M4" s="12"/>
      <c r="N4" s="12"/>
      <c r="O4" s="12"/>
      <c r="P4" s="12"/>
      <c r="Q4" s="12"/>
      <c r="R4" s="12"/>
      <c r="S4" s="12"/>
      <c r="T4" s="12"/>
      <c r="U4" s="12"/>
      <c r="V4" s="12"/>
      <c r="W4" s="12"/>
      <c r="X4" s="12"/>
    </row>
    <row r="5" spans="1:32" s="4" customFormat="1" ht="15">
      <c r="A5" s="177" t="s">
        <v>377</v>
      </c>
      <c r="B5" s="177" t="s">
        <v>4</v>
      </c>
      <c r="C5" s="15" t="s">
        <v>118</v>
      </c>
      <c r="D5" s="15" t="s">
        <v>119</v>
      </c>
      <c r="E5" s="15" t="s">
        <v>120</v>
      </c>
      <c r="F5" s="16" t="s">
        <v>121</v>
      </c>
      <c r="G5" s="15" t="s">
        <v>66</v>
      </c>
      <c r="H5" s="15" t="s">
        <v>24</v>
      </c>
      <c r="I5" s="15" t="s">
        <v>25</v>
      </c>
      <c r="J5" s="16" t="s">
        <v>65</v>
      </c>
      <c r="K5" s="15" t="s">
        <v>26</v>
      </c>
      <c r="L5" s="15" t="s">
        <v>27</v>
      </c>
      <c r="M5" s="15" t="s">
        <v>28</v>
      </c>
      <c r="N5" s="16" t="s">
        <v>29</v>
      </c>
      <c r="O5" s="15" t="s">
        <v>87</v>
      </c>
      <c r="P5" s="15" t="s">
        <v>88</v>
      </c>
      <c r="Q5" s="15" t="s">
        <v>89</v>
      </c>
      <c r="R5" s="16" t="s">
        <v>90</v>
      </c>
      <c r="S5" s="15" t="s">
        <v>91</v>
      </c>
      <c r="T5" s="15" t="s">
        <v>92</v>
      </c>
      <c r="U5" s="15" t="s">
        <v>93</v>
      </c>
      <c r="V5" s="16" t="s">
        <v>94</v>
      </c>
      <c r="W5" s="15"/>
      <c r="X5" s="15"/>
      <c r="AA5" s="377"/>
      <c r="AC5" s="135" t="s">
        <v>323</v>
      </c>
      <c r="AD5" s="4">
        <v>21</v>
      </c>
      <c r="AE5" s="4">
        <v>18</v>
      </c>
      <c r="AF5" s="4">
        <v>22</v>
      </c>
    </row>
    <row r="6" spans="1:32">
      <c r="A6" s="178" t="s">
        <v>36</v>
      </c>
      <c r="B6" s="178" t="s">
        <v>5</v>
      </c>
      <c r="C6" s="18"/>
      <c r="D6" s="18"/>
      <c r="E6" s="18"/>
      <c r="F6" s="19"/>
      <c r="G6" s="18"/>
      <c r="H6" s="18"/>
      <c r="I6" s="18"/>
      <c r="J6" s="19"/>
      <c r="K6" s="18"/>
      <c r="L6" s="18"/>
      <c r="M6" s="18"/>
      <c r="N6" s="19"/>
      <c r="O6" s="18"/>
      <c r="P6" s="18"/>
      <c r="Q6" s="18"/>
      <c r="R6" s="19"/>
      <c r="S6" s="18"/>
      <c r="T6" s="18"/>
      <c r="U6" s="18"/>
      <c r="V6" s="19"/>
      <c r="W6" s="18"/>
      <c r="X6" s="18"/>
    </row>
    <row r="7" spans="1:32">
      <c r="A7" s="179" t="s">
        <v>57</v>
      </c>
      <c r="B7" s="179" t="s">
        <v>13</v>
      </c>
      <c r="C7" s="24">
        <f>VLOOKUP($AC7,'1Q18'!$A:$C,2,FALSE)*0.1^9</f>
        <v>1307.7431174310011</v>
      </c>
      <c r="D7" s="24">
        <f>VLOOKUP($AC7,'2Q18'!$A:$C,2,FALSE)*0.1^9</f>
        <v>1355.1983947040012</v>
      </c>
      <c r="E7" s="24">
        <f>VLOOKUP($AC7,'3Q18'!$A:$C,2,FALSE)*0.1^9</f>
        <v>1286.7581519820012</v>
      </c>
      <c r="F7" s="25">
        <f>VLOOKUP($AC7,'4Q18'!$A:$C,2,FALSE)*0.1^9</f>
        <v>1337.8779285720011</v>
      </c>
      <c r="G7" s="24">
        <f>VLOOKUP($AC7,'1Q19'!$A:$C,2,FALSE)*0.1^9</f>
        <v>1556.1412406110014</v>
      </c>
      <c r="H7" s="24">
        <f>VLOOKUP($AC7,'2Q19'!$A:$C,2,FALSE)*0.1^9</f>
        <v>1589.8749108760014</v>
      </c>
      <c r="I7" s="24">
        <f>VLOOKUP($AC7,'3Q19'!$A:$C,2,FALSE)*0.1^9</f>
        <v>1726.0397305440015</v>
      </c>
      <c r="J7" s="25">
        <f>VLOOKUP($AC7,'4Q19'!$A:$C,2,FALSE)*0.1^9</f>
        <v>1586.8098232520015</v>
      </c>
      <c r="K7" s="24">
        <f>VLOOKUP($AC7,'1Q20'!$A:$C,2,FALSE)*0.1^9</f>
        <v>1835.9282691430017</v>
      </c>
      <c r="L7" s="24">
        <f>VLOOKUP($AC7,'2Q20'!$A:$C,2,FALSE)*0.1^9</f>
        <v>1711.2122986990016</v>
      </c>
      <c r="M7" s="24">
        <f>VLOOKUP($AC7,'3Q20'!$A:$C,2,FALSE)*0.1^9</f>
        <v>1704.2361243350015</v>
      </c>
      <c r="N7" s="25">
        <f>VLOOKUP($AC7,'4Q20'!$A:$C,2,FALSE)*0.1^9</f>
        <v>1686.0642222780016</v>
      </c>
      <c r="O7" s="24">
        <f>VLOOKUP($AC7,'1Q21'!$A:$C,2,FALSE)*0.1^9</f>
        <v>1854.5347590930016</v>
      </c>
      <c r="P7" s="24">
        <f>VLOOKUP($AC7,'2Q21'!$A:$C,2,FALSE)*0.1^9</f>
        <v>1930.6370433070017</v>
      </c>
      <c r="Q7" s="24">
        <f>VLOOKUP($AC7,'3Q21'!$A:$C,2,FALSE)*0.1^9</f>
        <v>2086.587547076002</v>
      </c>
      <c r="R7" s="25">
        <v>2041.1303918100018</v>
      </c>
      <c r="S7" s="24">
        <f>VLOOKUP($AF7,'Q122'!$A:$G,4,FALSE)*0.1^9</f>
        <v>2293.6157632560021</v>
      </c>
      <c r="T7" s="24"/>
      <c r="U7" s="24"/>
      <c r="V7" s="25"/>
      <c r="W7" s="24"/>
      <c r="X7" s="24"/>
      <c r="AC7" s="108" t="s">
        <v>201</v>
      </c>
      <c r="AF7" s="455" t="s">
        <v>725</v>
      </c>
    </row>
    <row r="8" spans="1:32">
      <c r="A8" s="180" t="s">
        <v>43</v>
      </c>
      <c r="B8" s="180" t="s">
        <v>11</v>
      </c>
      <c r="C8" s="26">
        <f>VLOOKUP($AC8,'1Q18'!$A:$C,2,FALSE)*0.1^9</f>
        <v>123.60038788000011</v>
      </c>
      <c r="D8" s="26">
        <f>VLOOKUP($AC8,'2Q18'!$A:$C,2,FALSE)*0.1^9</f>
        <v>136.55985797100013</v>
      </c>
      <c r="E8" s="26">
        <f>VLOOKUP($AC8,'3Q18'!$A:$C,2,FALSE)*0.1^9</f>
        <v>131.1203887930001</v>
      </c>
      <c r="F8" s="27">
        <f>VLOOKUP($AC8,'4Q18'!$A:$C,2,FALSE)*0.1^9</f>
        <v>149.00132473100012</v>
      </c>
      <c r="G8" s="26">
        <f>VLOOKUP($AC8,'1Q19'!$A:$C,2,FALSE)*0.1^9</f>
        <v>200.75746965400018</v>
      </c>
      <c r="H8" s="26">
        <f>VLOOKUP($AC8,'2Q19'!$A:$C,2,FALSE)*0.1^9</f>
        <v>195.86125057000018</v>
      </c>
      <c r="I8" s="26">
        <f>VLOOKUP($AC8,'3Q19'!$A:$C,2,FALSE)*0.1^9</f>
        <v>310.05895800900026</v>
      </c>
      <c r="J8" s="27">
        <f>VLOOKUP($AC8,'4Q19'!$A:$C,2,FALSE)*0.1^9</f>
        <v>232.03242438800021</v>
      </c>
      <c r="K8" s="26">
        <f>VLOOKUP($AC8,'1Q20'!$A:$C,2,FALSE)*0.1^9</f>
        <v>354.27551012000032</v>
      </c>
      <c r="L8" s="26">
        <f>VLOOKUP($AC8,'2Q20'!$A:$C,2,FALSE)*0.1^9</f>
        <v>375.22935223100035</v>
      </c>
      <c r="M8" s="26">
        <f>VLOOKUP($AC8,'3Q20'!$A:$C,2,FALSE)*0.1^9</f>
        <v>390.99056043500036</v>
      </c>
      <c r="N8" s="27">
        <f>VLOOKUP($AC8,'4Q20'!$A:$C,2,FALSE)*0.1^9</f>
        <v>470.64755252500044</v>
      </c>
      <c r="O8" s="26">
        <f>VLOOKUP($AC8,'1Q21'!$A:$C,2,FALSE)*0.1^9</f>
        <v>467.16907507400043</v>
      </c>
      <c r="P8" s="26">
        <f>VLOOKUP($AC8,'2Q21'!$A:$C,2,FALSE)*0.1^9</f>
        <v>593.4987514550005</v>
      </c>
      <c r="Q8" s="26">
        <f>VLOOKUP($AC8,'3Q21'!$A:$C,2,FALSE)*0.1^9</f>
        <v>726.34635178700069</v>
      </c>
      <c r="R8" s="27">
        <v>699.20359078300066</v>
      </c>
      <c r="S8" s="26">
        <f>VLOOKUP($AF8,'Q122'!$A:$G,3,FALSE)*0.1^9</f>
        <v>608.96584737000057</v>
      </c>
      <c r="T8" s="26"/>
      <c r="U8" s="26"/>
      <c r="V8" s="27"/>
      <c r="W8" s="26"/>
      <c r="X8" s="26"/>
      <c r="AC8" s="108" t="s">
        <v>202</v>
      </c>
      <c r="AF8" s="455" t="s">
        <v>726</v>
      </c>
    </row>
    <row r="9" spans="1:32">
      <c r="A9" s="180" t="s">
        <v>44</v>
      </c>
      <c r="B9" s="180" t="s">
        <v>14</v>
      </c>
      <c r="C9" s="26">
        <f>VLOOKUP($AC9,'1Q18'!$A:$C,2,FALSE)*0.1^9</f>
        <v>558.13800924300051</v>
      </c>
      <c r="D9" s="26">
        <f>VLOOKUP($AC9,'2Q18'!$A:$C,2,FALSE)*0.1^9</f>
        <v>587.92417119600054</v>
      </c>
      <c r="E9" s="26">
        <f>VLOOKUP($AC9,'3Q18'!$A:$C,2,FALSE)*0.1^9</f>
        <v>493.79581328700044</v>
      </c>
      <c r="F9" s="27">
        <f>VLOOKUP($AC9,'4Q18'!$A:$C,2,FALSE)*0.1^9</f>
        <v>473.8639142810004</v>
      </c>
      <c r="G9" s="26">
        <f>VLOOKUP($AC9,'1Q19'!$A:$C,2,FALSE)*0.1^9</f>
        <v>650.91615784200053</v>
      </c>
      <c r="H9" s="26">
        <f>VLOOKUP($AC9,'2Q19'!$A:$C,2,FALSE)*0.1^9</f>
        <v>641.40544571200053</v>
      </c>
      <c r="I9" s="26">
        <f>VLOOKUP($AC9,'3Q19'!$A:$C,2,FALSE)*0.1^9</f>
        <v>597.81865030700055</v>
      </c>
      <c r="J9" s="27">
        <f>VLOOKUP($AC9,'4Q19'!$A:$C,2,FALSE)*0.1^9</f>
        <v>521.04672303000041</v>
      </c>
      <c r="K9" s="26">
        <f>VLOOKUP($AC9,'1Q20'!$A:$C,2,FALSE)*0.1^9</f>
        <v>630.27012215200057</v>
      </c>
      <c r="L9" s="26">
        <f>VLOOKUP($AC9,'2Q20'!$A:$C,2,FALSE)*0.1^9</f>
        <v>543.85817082200049</v>
      </c>
      <c r="M9" s="26">
        <f>VLOOKUP($AC9,'3Q20'!$A:$C,2,FALSE)*0.1^9</f>
        <v>605.40581433700049</v>
      </c>
      <c r="N9" s="27">
        <f>VLOOKUP($AC9,'4Q20'!$A:$C,2,FALSE)*0.1^9</f>
        <v>518.46929807800041</v>
      </c>
      <c r="O9" s="26">
        <f>VLOOKUP($AC9,'1Q21'!$A:$C,2,FALSE)*0.1^9</f>
        <v>725.84552873900066</v>
      </c>
      <c r="P9" s="26">
        <f>VLOOKUP($AD9,'2Q21'!$A:$C,2,FALSE)*0.1^9</f>
        <v>695.64420929900064</v>
      </c>
      <c r="Q9" s="26">
        <f>VLOOKUP($AD9,'3Q21'!$A:$C,2,FALSE)*0.1^9</f>
        <v>637.07329102100061</v>
      </c>
      <c r="R9" s="27">
        <v>471.29996137500041</v>
      </c>
      <c r="S9" s="26">
        <f>VLOOKUP($AF9,'Q122'!$A:$G,3,FALSE)*0.1^9</f>
        <v>710.01962419100062</v>
      </c>
      <c r="T9" s="26"/>
      <c r="U9" s="26"/>
      <c r="V9" s="27"/>
      <c r="W9" s="26"/>
      <c r="X9" s="26"/>
      <c r="AC9" s="108" t="s">
        <v>203</v>
      </c>
      <c r="AD9" s="108" t="s">
        <v>290</v>
      </c>
      <c r="AF9" s="455" t="s">
        <v>728</v>
      </c>
    </row>
    <row r="10" spans="1:32">
      <c r="A10" s="180" t="s">
        <v>95</v>
      </c>
      <c r="B10" s="180" t="s">
        <v>96</v>
      </c>
      <c r="C10" s="26">
        <f>VLOOKUP($AC10,'1Q18'!$A:$C,2,FALSE)*0.1^9</f>
        <v>565.91956324600051</v>
      </c>
      <c r="D10" s="26">
        <f>VLOOKUP($AC10,'2Q18'!$A:$C,2,FALSE)*0.1^9</f>
        <v>558.13500435100048</v>
      </c>
      <c r="E10" s="26">
        <f>VLOOKUP($AC10,'3Q18'!$A:$C,2,FALSE)*0.1^9</f>
        <v>586.82445358400048</v>
      </c>
      <c r="F10" s="27">
        <f>VLOOKUP($AC10,'4Q18'!$A:$C,2,FALSE)*0.1^9</f>
        <v>632.23688981300052</v>
      </c>
      <c r="G10" s="26">
        <f>VLOOKUP($AC10,'1Q19'!$A:$C,2,FALSE)*0.1^9</f>
        <v>629.40483030900054</v>
      </c>
      <c r="H10" s="26">
        <f>VLOOKUP($AC10,'2Q19'!$A:$C,2,FALSE)*0.1^9</f>
        <v>669.07900597400055</v>
      </c>
      <c r="I10" s="26">
        <f>VLOOKUP($AC10,'3Q19'!$A:$C,2,FALSE)*0.1^9</f>
        <v>710.62806141700059</v>
      </c>
      <c r="J10" s="27">
        <f>VLOOKUP($AC10,'4Q19'!$A:$C,2,FALSE)*0.1^9</f>
        <v>735.48106257100062</v>
      </c>
      <c r="K10" s="26">
        <f>VLOOKUP($AC10,'1Q20'!$A:$C,2,FALSE)*0.1^9</f>
        <v>707.09209564100058</v>
      </c>
      <c r="L10" s="26">
        <f>VLOOKUP($AC10,'2Q20'!$A:$C,2,FALSE)*0.1^9</f>
        <v>694.34812234400067</v>
      </c>
      <c r="M10" s="26">
        <f>VLOOKUP($AC10,'3Q20'!$A:$C,2,FALSE)*0.1^9</f>
        <v>610.80966288500053</v>
      </c>
      <c r="N10" s="27">
        <f>VLOOKUP($AC10,'4Q20'!$A:$C,2,FALSE)*0.1^9</f>
        <v>615.55191534400058</v>
      </c>
      <c r="O10" s="26">
        <f>VLOOKUP($AC10,'1Q21'!$A:$C,2,FALSE)*0.1^9</f>
        <v>587.72074502400051</v>
      </c>
      <c r="P10" s="26">
        <f>VLOOKUP($AC10,'2Q21'!$A:$C,2,FALSE)*0.1^9</f>
        <v>552.33108081300054</v>
      </c>
      <c r="Q10" s="26">
        <f>VLOOKUP($AC10,'3Q21'!$A:$C,2,FALSE)*0.1^9</f>
        <v>618.1721691310006</v>
      </c>
      <c r="R10" s="27">
        <v>757.79701493600066</v>
      </c>
      <c r="S10" s="26">
        <f>VLOOKUP($AF10,'Q122'!$A:$G,3,FALSE)*0.1^9</f>
        <v>865.43438782200076</v>
      </c>
      <c r="T10" s="26"/>
      <c r="U10" s="26"/>
      <c r="V10" s="27"/>
      <c r="W10" s="26"/>
      <c r="X10" s="26"/>
      <c r="AC10" s="108" t="s">
        <v>204</v>
      </c>
      <c r="AF10" s="455" t="s">
        <v>730</v>
      </c>
    </row>
    <row r="11" spans="1:32">
      <c r="A11" s="180" t="s">
        <v>45</v>
      </c>
      <c r="B11" s="180" t="s">
        <v>10</v>
      </c>
      <c r="C11" s="26">
        <f t="shared" ref="C11:K11" si="0">C7-SUM(C8:C10)</f>
        <v>60.085157062000007</v>
      </c>
      <c r="D11" s="26">
        <f t="shared" si="0"/>
        <v>72.579361185999915</v>
      </c>
      <c r="E11" s="26">
        <f t="shared" si="0"/>
        <v>75.017496318000212</v>
      </c>
      <c r="F11" s="27">
        <f t="shared" si="0"/>
        <v>82.775799747000065</v>
      </c>
      <c r="G11" s="26">
        <f t="shared" si="0"/>
        <v>75.062782806000314</v>
      </c>
      <c r="H11" s="26">
        <f t="shared" si="0"/>
        <v>83.52920862000019</v>
      </c>
      <c r="I11" s="26">
        <f t="shared" si="0"/>
        <v>107.53406081100002</v>
      </c>
      <c r="J11" s="27">
        <f t="shared" si="0"/>
        <v>98.249613263000356</v>
      </c>
      <c r="K11" s="26">
        <f t="shared" si="0"/>
        <v>144.29054123000014</v>
      </c>
      <c r="L11" s="26">
        <f t="shared" ref="L11" si="1">L7-SUM(L8:L10)</f>
        <v>97.776653302000113</v>
      </c>
      <c r="M11" s="26">
        <f t="shared" ref="M11:S11" si="2">M7-SUM(M8:M10)</f>
        <v>97.030086678000089</v>
      </c>
      <c r="N11" s="27">
        <f t="shared" ref="N11" si="3">N7-SUM(N8:N10)</f>
        <v>81.395456331000332</v>
      </c>
      <c r="O11" s="26">
        <f t="shared" si="2"/>
        <v>73.799410256000101</v>
      </c>
      <c r="P11" s="26">
        <f t="shared" si="2"/>
        <v>89.163001740000027</v>
      </c>
      <c r="Q11" s="26">
        <f t="shared" si="2"/>
        <v>104.99573513700011</v>
      </c>
      <c r="R11" s="27">
        <f t="shared" si="2"/>
        <v>112.82982471599985</v>
      </c>
      <c r="S11" s="26">
        <f t="shared" si="2"/>
        <v>109.19590387300013</v>
      </c>
      <c r="T11" s="26"/>
      <c r="U11" s="26"/>
      <c r="V11" s="27"/>
      <c r="W11" s="26"/>
      <c r="X11" s="26"/>
      <c r="AC11" s="108"/>
      <c r="AF11" s="455" t="s">
        <v>731</v>
      </c>
    </row>
    <row r="12" spans="1:32">
      <c r="A12" s="181" t="s">
        <v>46</v>
      </c>
      <c r="B12" s="181" t="s">
        <v>12</v>
      </c>
      <c r="C12" s="26">
        <f>VLOOKUP($AC12,'1Q18'!$A:$C,2,FALSE)*0.1^9</f>
        <v>1920.0222091120017</v>
      </c>
      <c r="D12" s="26">
        <f>VLOOKUP($AC12,'2Q18'!$A:$C,2,FALSE)*0.1^9</f>
        <v>2019.5815698400017</v>
      </c>
      <c r="E12" s="26">
        <f>VLOOKUP($AC12,'3Q18'!$A:$C,2,FALSE)*0.1^9</f>
        <v>1943.2790277520016</v>
      </c>
      <c r="F12" s="27">
        <f>VLOOKUP($AC12,'4Q18'!$A:$C,2,FALSE)*0.1^9</f>
        <v>1966.4615794980018</v>
      </c>
      <c r="G12" s="26">
        <f>VLOOKUP($AC12,'1Q19'!$A:$C,2,FALSE)*0.1^9</f>
        <v>2107.3292285830021</v>
      </c>
      <c r="H12" s="26">
        <f>VLOOKUP($AC12,'2Q19'!$A:$C,2,FALSE)*0.1^9</f>
        <v>2154.8973755730021</v>
      </c>
      <c r="I12" s="26">
        <f>VLOOKUP($AC12,'3Q19'!$A:$C,2,FALSE)*0.1^9</f>
        <v>2223.240896002002</v>
      </c>
      <c r="J12" s="27">
        <f>VLOOKUP($AC12,'4Q19'!$A:$C,2,FALSE)*0.1^9</f>
        <v>2183.4393052090018</v>
      </c>
      <c r="K12" s="26">
        <f>VLOOKUP($AC12,'1Q20'!$A:$C,2,FALSE)*0.1^9</f>
        <v>2285.6144750410022</v>
      </c>
      <c r="L12" s="26">
        <f>VLOOKUP($AC12,'2Q20'!$A:$C,2,FALSE)*0.1^9</f>
        <v>2257.7875214560022</v>
      </c>
      <c r="M12" s="26">
        <f>VLOOKUP($AC12,'3Q20'!$A:$C,2,FALSE)*0.1^9</f>
        <v>2196.8575724540019</v>
      </c>
      <c r="N12" s="27">
        <f>VLOOKUP($AC12,'4Q20'!$A:$C,2,FALSE)*0.1^9</f>
        <v>2072.3770265220019</v>
      </c>
      <c r="O12" s="26">
        <f>VLOOKUP($AC12,'1Q21'!$A:$C,2,FALSE)*0.1^9</f>
        <v>2142.135944075002</v>
      </c>
      <c r="P12" s="26">
        <f>VLOOKUP($AC12,'2Q21'!$A:$C,2,FALSE)*0.1^9</f>
        <v>2133.2331590400017</v>
      </c>
      <c r="Q12" s="26">
        <f>VLOOKUP($AC12,'3Q21'!$A:$C,2,FALSE)*0.1^9</f>
        <v>2228.1517431820021</v>
      </c>
      <c r="R12" s="27">
        <v>2247.7264236040019</v>
      </c>
      <c r="S12" s="26">
        <f>VLOOKUP($AF12,'Q122'!$A:$G,4,FALSE)*0.1^9</f>
        <v>2289.768995188002</v>
      </c>
      <c r="T12" s="26"/>
      <c r="U12" s="26"/>
      <c r="V12" s="27"/>
      <c r="W12" s="26"/>
      <c r="X12" s="26"/>
      <c r="AC12" s="108" t="s">
        <v>211</v>
      </c>
      <c r="AF12" s="455" t="s">
        <v>737</v>
      </c>
    </row>
    <row r="13" spans="1:32">
      <c r="A13" s="180" t="s">
        <v>47</v>
      </c>
      <c r="B13" s="180" t="s">
        <v>103</v>
      </c>
      <c r="C13" s="26">
        <f>VLOOKUP($AC13,'1Q18'!$A:$C,2,FALSE)*0.1^9</f>
        <v>325.72282235200026</v>
      </c>
      <c r="D13" s="26">
        <f>VLOOKUP($AC13,'2Q18'!$A:$C,2,FALSE)*0.1^9</f>
        <v>349.02056234000031</v>
      </c>
      <c r="E13" s="26">
        <f>VLOOKUP($AC13,'3Q18'!$A:$C,2,FALSE)*0.1^9</f>
        <v>301.12411993400025</v>
      </c>
      <c r="F13" s="27">
        <f>VLOOKUP($AC13,'4Q18'!$A:$C,2,FALSE)*0.1^9</f>
        <v>310.71635941200026</v>
      </c>
      <c r="G13" s="26">
        <f>VLOOKUP($AC13,'1Q19'!$A:$C,2,FALSE)*0.1^9</f>
        <v>424.87161081200037</v>
      </c>
      <c r="H13" s="26">
        <f>VLOOKUP($AC13,'2Q19'!$A:$C,2,FALSE)*0.1^9</f>
        <v>449.12275861800038</v>
      </c>
      <c r="I13" s="26">
        <f>VLOOKUP($AC13,'3Q19'!$A:$C,2,FALSE)*0.1^9</f>
        <v>448.02721361500039</v>
      </c>
      <c r="J13" s="27">
        <f>VLOOKUP($AC13,'4Q19'!$A:$C,2,FALSE)*0.1^9</f>
        <v>439.0520480660004</v>
      </c>
      <c r="K13" s="26">
        <f>VLOOKUP($AC13,'1Q20'!$A:$C,2,FALSE)*0.1^9</f>
        <v>447.39310156200042</v>
      </c>
      <c r="L13" s="26">
        <f>VLOOKUP($AC13,'2Q20'!$A:$C,2,FALSE)*0.1^9</f>
        <v>437.08336904200041</v>
      </c>
      <c r="M13" s="26">
        <f>VLOOKUP($AC13,'3Q20'!$A:$C,2,FALSE)*0.1^9</f>
        <v>418.5121576020004</v>
      </c>
      <c r="N13" s="27">
        <f>VLOOKUP($AC13,'4Q20'!$A:$C,2,FALSE)*0.1^9</f>
        <v>405.23564737400034</v>
      </c>
      <c r="O13" s="26">
        <f>VLOOKUP($AC13,'1Q21'!$A:$C,2,FALSE)*0.1^9</f>
        <v>414.9348535460004</v>
      </c>
      <c r="P13" s="26">
        <f>VLOOKUP($AC13,'2Q21'!$A:$C,2,FALSE)*0.1^9</f>
        <v>411.35167175600037</v>
      </c>
      <c r="Q13" s="26">
        <f>VLOOKUP($AC13,'3Q21'!$A:$C,2,FALSE)*0.1^9</f>
        <v>419.85017636700036</v>
      </c>
      <c r="R13" s="27">
        <v>418.21832200800037</v>
      </c>
      <c r="S13" s="26">
        <f>VLOOKUP($AF13,'Q122'!$A:$G,3,FALSE)*0.1^9</f>
        <v>425.5635070870004</v>
      </c>
      <c r="T13" s="26"/>
      <c r="U13" s="26"/>
      <c r="V13" s="27"/>
      <c r="W13" s="26"/>
      <c r="X13" s="26"/>
      <c r="AC13" s="108" t="s">
        <v>214</v>
      </c>
      <c r="AF13" s="455" t="s">
        <v>738</v>
      </c>
    </row>
    <row r="14" spans="1:32">
      <c r="A14" s="180" t="s">
        <v>48</v>
      </c>
      <c r="B14" s="180" t="s">
        <v>15</v>
      </c>
      <c r="C14" s="26">
        <f>VLOOKUP($AC14,'1Q18'!$A:$C,2,FALSE)*0.1^9</f>
        <v>1435.7174145660013</v>
      </c>
      <c r="D14" s="26">
        <f>VLOOKUP($AC14,'2Q18'!$A:$C,2,FALSE)*0.1^9</f>
        <v>1492.7808211830013</v>
      </c>
      <c r="E14" s="26">
        <f>VLOOKUP($AC14,'3Q18'!$A:$C,2,FALSE)*0.1^9</f>
        <v>1474.6798548680013</v>
      </c>
      <c r="F14" s="27">
        <f>VLOOKUP($AC14,'4Q18'!$A:$C,2,FALSE)*0.1^9</f>
        <v>1491.9483398830014</v>
      </c>
      <c r="G14" s="26">
        <f>VLOOKUP($AC14,'1Q19'!$A:$C,2,FALSE)*0.1^9</f>
        <v>1509.4201308040012</v>
      </c>
      <c r="H14" s="26">
        <f>VLOOKUP($AC14,'2Q19'!$A:$C,2,FALSE)*0.1^9</f>
        <v>1530.5270293190013</v>
      </c>
      <c r="I14" s="26">
        <f>VLOOKUP($AC14,'3Q19'!$A:$C,2,FALSE)*0.1^9</f>
        <v>1596.8454790370015</v>
      </c>
      <c r="J14" s="27">
        <f>VLOOKUP($AC14,'4Q19'!$A:$C,2,FALSE)*0.1^9</f>
        <v>1547.9233728270015</v>
      </c>
      <c r="K14" s="26">
        <f>VLOOKUP($AC14,'1Q20'!$A:$C,2,FALSE)*0.1^9</f>
        <v>1625.7004804620015</v>
      </c>
      <c r="L14" s="26">
        <f>VLOOKUP($AC14,'2Q20'!$A:$C,2,FALSE)*0.1^9</f>
        <v>1595.8445276990014</v>
      </c>
      <c r="M14" s="26">
        <f>VLOOKUP($AC14,'3Q20'!$A:$C,2,FALSE)*0.1^9</f>
        <v>1561.1416743690013</v>
      </c>
      <c r="N14" s="27">
        <f>VLOOKUP($AC14,'4Q20'!$A:$C,2,FALSE)*0.1^9</f>
        <v>1450.7466136970013</v>
      </c>
      <c r="O14" s="26">
        <f>VLOOKUP($AC14,'1Q21'!$A:$C,2,FALSE)*0.1^9</f>
        <v>1496.9387778900013</v>
      </c>
      <c r="P14" s="26">
        <f>VLOOKUP($AC14,'2Q21'!$A:$C,2,FALSE)*0.1^9</f>
        <v>1493.2810205870014</v>
      </c>
      <c r="Q14" s="26">
        <f>VLOOKUP($AC14,'3Q21'!$A:$C,2,FALSE)*0.1^9</f>
        <v>1557.4905247530014</v>
      </c>
      <c r="R14" s="27">
        <v>1552.7881490770014</v>
      </c>
      <c r="S14" s="26">
        <f>VLOOKUP($AF14,'Q122'!$A:$G,3,FALSE)*0.1^9</f>
        <v>1577.9347955650014</v>
      </c>
      <c r="T14" s="26"/>
      <c r="U14" s="26"/>
      <c r="V14" s="27"/>
      <c r="W14" s="26"/>
      <c r="X14" s="26"/>
      <c r="AC14" s="108" t="s">
        <v>215</v>
      </c>
      <c r="AF14" s="455" t="s">
        <v>739</v>
      </c>
    </row>
    <row r="15" spans="1:32">
      <c r="A15" s="180" t="s">
        <v>98</v>
      </c>
      <c r="B15" s="180" t="s">
        <v>104</v>
      </c>
      <c r="C15" s="26">
        <f>VLOOKUP($AE15,'1Q18'!$A:$C,2,FALSE)*0.1^9</f>
        <v>32.467414707000032</v>
      </c>
      <c r="D15" s="26">
        <f>VLOOKUP($AE15,'2Q18'!$A:$C,2,FALSE)*0.1^9</f>
        <v>38.486606075000033</v>
      </c>
      <c r="E15" s="26">
        <f>VLOOKUP($AE15,'3Q18'!$A:$C,2,FALSE)*0.1^9</f>
        <v>38.381641818000034</v>
      </c>
      <c r="F15" s="27">
        <f>VLOOKUP($AC15,'4Q18'!$A:$C,2,FALSE)*0.1^9</f>
        <v>43.806106986000039</v>
      </c>
      <c r="G15" s="26">
        <f>VLOOKUP($AC15,'1Q19'!$A:$C,2,FALSE)*0.1^9</f>
        <v>51.833872805000048</v>
      </c>
      <c r="H15" s="26">
        <f>VLOOKUP($AC15,'2Q19'!$A:$C,2,FALSE)*0.1^9</f>
        <v>58.854975152000051</v>
      </c>
      <c r="I15" s="26">
        <f>VLOOKUP($AC15,'3Q19'!$A:$C,2,FALSE)*0.1^9</f>
        <v>55.099582619000046</v>
      </c>
      <c r="J15" s="27">
        <f>VLOOKUP($AC15,'4Q19'!$A:$C,2,FALSE)*0.1^9</f>
        <v>66.210958086000062</v>
      </c>
      <c r="K15" s="26">
        <f>VLOOKUP($AC15,'1Q20'!$A:$C,2,FALSE)*0.1^9</f>
        <v>75.720485171000064</v>
      </c>
      <c r="L15" s="26">
        <f>VLOOKUP($AC15,'2Q20'!$A:$C,2,FALSE)*0.1^9</f>
        <v>78.661910563000063</v>
      </c>
      <c r="M15" s="26">
        <f>VLOOKUP($AC15,'3Q20'!$A:$C,2,FALSE)*0.1^9</f>
        <v>88.335730014000077</v>
      </c>
      <c r="N15" s="27">
        <f>VLOOKUP($AC15,'4Q20'!$A:$C,2,FALSE)*0.1^9</f>
        <v>100.7884924160001</v>
      </c>
      <c r="O15" s="26">
        <f>VLOOKUP($AC15,'1Q21'!$A:$C,2,FALSE)*0.1^9</f>
        <v>115.7477197540001</v>
      </c>
      <c r="P15" s="26">
        <f>VLOOKUP($AC15,'2Q21'!$A:$C,2,FALSE)*0.1^9</f>
        <v>132.51448075900012</v>
      </c>
      <c r="Q15" s="26">
        <f>VLOOKUP($AC15,'3Q21'!$A:$C,2,FALSE)*0.1^9</f>
        <v>137.39793629400012</v>
      </c>
      <c r="R15" s="27">
        <v>155.03709775800013</v>
      </c>
      <c r="S15" s="26">
        <f>VLOOKUP($AF15,'Q122'!$A:$G,3,FALSE)*0.1^9</f>
        <v>171.82232042200016</v>
      </c>
      <c r="T15" s="26"/>
      <c r="U15" s="26"/>
      <c r="V15" s="27"/>
      <c r="W15" s="26"/>
      <c r="X15" s="26"/>
      <c r="AC15" s="108" t="s">
        <v>216</v>
      </c>
      <c r="AE15" s="108" t="s">
        <v>303</v>
      </c>
      <c r="AF15" s="455" t="s">
        <v>740</v>
      </c>
    </row>
    <row r="16" spans="1:32" ht="12.75">
      <c r="A16" s="180" t="s">
        <v>49</v>
      </c>
      <c r="B16" s="180" t="s">
        <v>16</v>
      </c>
      <c r="C16" s="26">
        <f t="shared" ref="C16:K16" si="4">C12-SUM(C13:C15)</f>
        <v>126.11455748700018</v>
      </c>
      <c r="D16" s="26">
        <f t="shared" si="4"/>
        <v>139.29358024199996</v>
      </c>
      <c r="E16" s="26">
        <f t="shared" si="4"/>
        <v>129.09341113200026</v>
      </c>
      <c r="F16" s="27">
        <f t="shared" si="4"/>
        <v>119.9907732170002</v>
      </c>
      <c r="G16" s="26">
        <f t="shared" si="4"/>
        <v>121.20361416200035</v>
      </c>
      <c r="H16" s="26">
        <f t="shared" si="4"/>
        <v>116.39261248400044</v>
      </c>
      <c r="I16" s="26">
        <f t="shared" si="4"/>
        <v>123.26862073100028</v>
      </c>
      <c r="J16" s="27">
        <f t="shared" si="4"/>
        <v>130.25292622999996</v>
      </c>
      <c r="K16" s="26">
        <f t="shared" si="4"/>
        <v>136.80040784599987</v>
      </c>
      <c r="L16" s="26">
        <f t="shared" ref="L16" si="5">L12-SUM(L13:L15)</f>
        <v>146.19771415200012</v>
      </c>
      <c r="M16" s="26">
        <f t="shared" ref="M16:S16" si="6">M12-SUM(M13:M15)</f>
        <v>128.86801046900018</v>
      </c>
      <c r="N16" s="27">
        <f t="shared" ref="N16" si="7">N12-SUM(N13:N15)</f>
        <v>115.60627303500019</v>
      </c>
      <c r="O16" s="26">
        <f t="shared" si="6"/>
        <v>114.51459288500018</v>
      </c>
      <c r="P16" s="26">
        <f t="shared" si="6"/>
        <v>96.085985937999794</v>
      </c>
      <c r="Q16" s="26">
        <f t="shared" si="6"/>
        <v>113.41310576800015</v>
      </c>
      <c r="R16" s="27">
        <f t="shared" si="6"/>
        <v>121.68285476099982</v>
      </c>
      <c r="S16" s="26">
        <f t="shared" si="6"/>
        <v>114.44837211399999</v>
      </c>
      <c r="T16" s="26"/>
      <c r="U16" s="26"/>
      <c r="V16" s="27"/>
      <c r="W16" s="26"/>
      <c r="X16" s="26"/>
    </row>
    <row r="17" spans="1:32" s="4" customFormat="1" ht="16.5">
      <c r="A17" s="182" t="s">
        <v>37</v>
      </c>
      <c r="B17" s="182" t="s">
        <v>6</v>
      </c>
      <c r="C17" s="28">
        <f>VLOOKUP($AC17,'1Q18'!$A:$C,2,FALSE)*0.1^9</f>
        <v>3227.7653265430031</v>
      </c>
      <c r="D17" s="28">
        <f>VLOOKUP($AC17,'2Q18'!$A:$C,2,FALSE)*0.1^9</f>
        <v>3374.7799645440032</v>
      </c>
      <c r="E17" s="28">
        <f>VLOOKUP($AC17,'3Q18'!$A:$C,2,FALSE)*0.1^9</f>
        <v>3230.0371797340031</v>
      </c>
      <c r="F17" s="29">
        <f>VLOOKUP($AC17,'4Q18'!$A:$C,2,FALSE)*0.1^9</f>
        <v>3304.3395080700029</v>
      </c>
      <c r="G17" s="28">
        <f>VLOOKUP($AC17,'1Q19'!$A:$C,2,FALSE)*0.1^9</f>
        <v>3663.4704691940033</v>
      </c>
      <c r="H17" s="28">
        <f>VLOOKUP($AC17,'2Q19'!$A:$C,2,FALSE)*0.1^9</f>
        <v>3744.7722864490033</v>
      </c>
      <c r="I17" s="28">
        <f>VLOOKUP($AC17,'3Q19'!$A:$C,2,FALSE)*0.1^9</f>
        <v>3949.2806265460035</v>
      </c>
      <c r="J17" s="29">
        <f>VLOOKUP($AC17,'4Q19'!$A:$C,2,FALSE)*0.1^9</f>
        <v>3770.2491284610032</v>
      </c>
      <c r="K17" s="28">
        <f>VLOOKUP($AC17,'1Q20'!$A:$C,2,FALSE)*0.1^9</f>
        <v>4121.5427441840038</v>
      </c>
      <c r="L17" s="28">
        <f>VLOOKUP($AC17,'2Q20'!$A:$C,2,FALSE)*0.1^9</f>
        <v>3968.9998201550034</v>
      </c>
      <c r="M17" s="28">
        <f>VLOOKUP($AC17,'3Q20'!$A:$C,2,FALSE)*0.1^9</f>
        <v>3901.0936967890034</v>
      </c>
      <c r="N17" s="29">
        <f>VLOOKUP($AC17,'4Q20'!$A:$C,2,FALSE)*0.1^9</f>
        <v>3758.4412488000035</v>
      </c>
      <c r="O17" s="28">
        <f>VLOOKUP($AC17,'1Q21'!$A:$C,2,FALSE)*0.1^9</f>
        <v>3996.6707031680035</v>
      </c>
      <c r="P17" s="28">
        <f>VLOOKUP($AC17,'2Q21'!$A:$C,2,FALSE)*0.1^9</f>
        <v>4063.8702023470037</v>
      </c>
      <c r="Q17" s="28">
        <f>VLOOKUP($AC17,'3Q21'!$A:$C,2,FALSE)*0.1^9</f>
        <v>4314.7392902580041</v>
      </c>
      <c r="R17" s="29">
        <v>4288.8568154140039</v>
      </c>
      <c r="S17" s="28">
        <f>VLOOKUP($AF17,'Q122'!$A:$G,4,FALSE)*0.1^9</f>
        <v>4583.3847584440036</v>
      </c>
      <c r="T17" s="28"/>
      <c r="U17" s="28"/>
      <c r="V17" s="29"/>
      <c r="W17" s="28"/>
      <c r="X17" s="28"/>
      <c r="AA17" s="377"/>
      <c r="AC17" s="108" t="s">
        <v>221</v>
      </c>
      <c r="AF17" s="455" t="s">
        <v>744</v>
      </c>
    </row>
    <row r="18" spans="1:32">
      <c r="A18" s="183" t="s">
        <v>38</v>
      </c>
      <c r="B18" s="183" t="s">
        <v>7</v>
      </c>
      <c r="C18" s="30"/>
      <c r="D18" s="30"/>
      <c r="E18" s="30"/>
      <c r="F18" s="31"/>
      <c r="G18" s="30"/>
      <c r="H18" s="30"/>
      <c r="I18" s="30"/>
      <c r="J18" s="31"/>
      <c r="K18" s="30"/>
      <c r="L18" s="30"/>
      <c r="M18" s="30"/>
      <c r="N18" s="31"/>
      <c r="O18" s="30"/>
      <c r="P18" s="30"/>
      <c r="Q18" s="30"/>
      <c r="R18" s="31"/>
      <c r="S18" s="30"/>
      <c r="T18" s="30"/>
      <c r="U18" s="30"/>
      <c r="V18" s="31"/>
      <c r="W18" s="30"/>
      <c r="X18" s="30"/>
    </row>
    <row r="19" spans="1:32">
      <c r="A19" s="179" t="s">
        <v>50</v>
      </c>
      <c r="B19" s="179" t="s">
        <v>378</v>
      </c>
      <c r="C19" s="24">
        <f>VLOOKUP($AC19,'1Q18'!$A:$C,2,FALSE)*0.1^9</f>
        <v>772.69952013800071</v>
      </c>
      <c r="D19" s="24">
        <f>VLOOKUP($AC19,'2Q18'!$A:$C,2,FALSE)*0.1^9</f>
        <v>687.9616800190006</v>
      </c>
      <c r="E19" s="24">
        <f>VLOOKUP($AC19,'3Q18'!$A:$C,2,FALSE)*0.1^9</f>
        <v>655.91018384900053</v>
      </c>
      <c r="F19" s="25">
        <f>VLOOKUP($AC19,'4Q18'!$A:$C,2,FALSE)*0.1^9</f>
        <v>672.31566254600057</v>
      </c>
      <c r="G19" s="24">
        <f>VLOOKUP($AC19,'1Q19'!$A:$C,2,FALSE)*0.1^9</f>
        <v>828.08305404400073</v>
      </c>
      <c r="H19" s="24">
        <f>VLOOKUP($AC19,'2Q19'!$A:$C,2,FALSE)*0.1^9</f>
        <v>920.77606019100085</v>
      </c>
      <c r="I19" s="24">
        <f>VLOOKUP($AC19,'3Q19'!$A:$C,2,FALSE)*0.1^9</f>
        <v>987.41492284900085</v>
      </c>
      <c r="J19" s="25">
        <f>VLOOKUP($AC19,'4Q19'!$A:$C,2,FALSE)*0.1^9</f>
        <v>867.3560089000008</v>
      </c>
      <c r="K19" s="24">
        <f>VLOOKUP($AC19,'1Q20'!$A:$C,2,FALSE)*0.1^9</f>
        <v>1084.9321901960009</v>
      </c>
      <c r="L19" s="24">
        <f>VLOOKUP($AC19,'2Q20'!$A:$C,2,FALSE)*0.1^9</f>
        <v>986.09422294800083</v>
      </c>
      <c r="M19" s="24">
        <f>VLOOKUP($AC19,'3Q20'!$A:$C,2,FALSE)*0.1^9</f>
        <v>912.87061866700083</v>
      </c>
      <c r="N19" s="25">
        <f>VLOOKUP($AC19,'4Q20'!$A:$C,2,FALSE)*0.1^9</f>
        <v>995.45973277100086</v>
      </c>
      <c r="O19" s="24">
        <f>VLOOKUP($AC19,'1Q21'!$A:$C,2,FALSE)*0.1^9</f>
        <v>1005.4139375570008</v>
      </c>
      <c r="P19" s="24">
        <f>VLOOKUP($AC19,'2Q21'!$A:$C,2,FALSE)*0.1^9</f>
        <v>930.72775474900084</v>
      </c>
      <c r="Q19" s="24">
        <f>VLOOKUP($AC19,'3Q21'!$A:$C,2,FALSE)*0.1^9</f>
        <v>994.19466537100084</v>
      </c>
      <c r="R19" s="25">
        <v>1051.3886840260009</v>
      </c>
      <c r="S19" s="24">
        <f>VLOOKUP($AF19,'Q122'!$A:$G,4,FALSE)*0.1^9</f>
        <v>1248.3085699680012</v>
      </c>
      <c r="T19" s="24"/>
      <c r="U19" s="24"/>
      <c r="V19" s="25"/>
      <c r="W19" s="24"/>
      <c r="X19" s="24"/>
      <c r="AC19" s="1" t="s">
        <v>223</v>
      </c>
      <c r="AF19" s="455" t="s">
        <v>746</v>
      </c>
    </row>
    <row r="20" spans="1:32">
      <c r="A20" s="180" t="s">
        <v>51</v>
      </c>
      <c r="B20" s="180" t="s">
        <v>17</v>
      </c>
      <c r="C20" s="26">
        <f>VLOOKUP($AC20,'1Q18'!$A:$C,2,FALSE)*0.1^9</f>
        <v>304.91805618900025</v>
      </c>
      <c r="D20" s="26">
        <f>VLOOKUP($AC20,'2Q18'!$A:$C,2,FALSE)*0.1^9</f>
        <v>382.91595190500033</v>
      </c>
      <c r="E20" s="26">
        <f>VLOOKUP($AC20,'3Q18'!$A:$C,2,FALSE)*0.1^9</f>
        <v>405.66488861200037</v>
      </c>
      <c r="F20" s="27">
        <f>VLOOKUP($AC20,'4Q18'!$A:$C,2,FALSE)*0.1^9</f>
        <v>405.99747124800035</v>
      </c>
      <c r="G20" s="26">
        <f>VLOOKUP($AC20,'1Q19'!$A:$C,2,FALSE)*0.1^9</f>
        <v>377.89821733800034</v>
      </c>
      <c r="H20" s="26">
        <f>VLOOKUP($AC20,'2Q19'!$A:$C,2,FALSE)*0.1^9</f>
        <v>442.96853712500041</v>
      </c>
      <c r="I20" s="26">
        <f>VLOOKUP($AC20,'3Q19'!$A:$C,2,FALSE)*0.1^9</f>
        <v>441.32312513600039</v>
      </c>
      <c r="J20" s="27">
        <f>VLOOKUP($AC20,'4Q19'!$A:$C,2,FALSE)*0.1^9</f>
        <v>413.00438353000038</v>
      </c>
      <c r="K20" s="26">
        <f>VLOOKUP($AC20,'1Q20'!$A:$C,2,FALSE)*0.1^9</f>
        <v>381.04179534100035</v>
      </c>
      <c r="L20" s="26">
        <f>VLOOKUP($AC20,'2Q20'!$A:$C,2,FALSE)*0.1^9</f>
        <v>366.02482893800033</v>
      </c>
      <c r="M20" s="26">
        <f>VLOOKUP($AC20,'3Q20'!$A:$C,2,FALSE)*0.1^9</f>
        <v>419.48770352600036</v>
      </c>
      <c r="N20" s="27">
        <f>VLOOKUP($AC20,'4Q20'!$A:$C,2,FALSE)*0.1^9</f>
        <v>407.88092368700035</v>
      </c>
      <c r="O20" s="26">
        <f>VLOOKUP($AD20,'1Q21'!$A:$C,2,FALSE)*0.1^9</f>
        <v>426.75720273500036</v>
      </c>
      <c r="P20" s="26">
        <f>VLOOKUP($AD20,'2Q21'!$A:$C,2,FALSE)*0.1^9</f>
        <v>471.73702660000043</v>
      </c>
      <c r="Q20" s="26">
        <f>VLOOKUP($AD20,'3Q21'!$A:$C,2,FALSE)*0.1^9</f>
        <v>525.67984279000052</v>
      </c>
      <c r="R20" s="27">
        <v>536.94525075400043</v>
      </c>
      <c r="S20" s="26">
        <f>VLOOKUP($AF20,'Q122'!$A:$G,3,FALSE)*0.1^9</f>
        <v>563.71136182500049</v>
      </c>
      <c r="T20" s="26"/>
      <c r="U20" s="26"/>
      <c r="V20" s="27"/>
      <c r="W20" s="26"/>
      <c r="X20" s="26"/>
      <c r="AC20" s="1" t="s">
        <v>224</v>
      </c>
      <c r="AD20" s="108" t="s">
        <v>291</v>
      </c>
      <c r="AF20" s="455" t="s">
        <v>747</v>
      </c>
    </row>
    <row r="21" spans="1:32">
      <c r="A21" s="180" t="s">
        <v>99</v>
      </c>
      <c r="B21" s="180" t="s">
        <v>106</v>
      </c>
      <c r="C21" s="26">
        <f>VLOOKUP($AC21,'1Q18'!$A:$C,2,FALSE)*0.1^9</f>
        <v>372.49594530200034</v>
      </c>
      <c r="D21" s="26">
        <f>VLOOKUP($AC21,'2Q18'!$A:$C,2,FALSE)*0.1^9</f>
        <v>202.70190167200019</v>
      </c>
      <c r="E21" s="26">
        <f>VLOOKUP($AC21,'3Q18'!$A:$C,2,FALSE)*0.1^9</f>
        <v>156.51411086200014</v>
      </c>
      <c r="F21" s="27">
        <f>VLOOKUP($AC21,'4Q18'!$A:$C,2,FALSE)*0.1^9</f>
        <v>174.42563936000016</v>
      </c>
      <c r="G21" s="26">
        <f>VLOOKUP($AC21,'1Q19'!$A:$C,2,FALSE)*0.1^9</f>
        <v>328.46742551500029</v>
      </c>
      <c r="H21" s="26">
        <f>VLOOKUP($AC21,'2Q19'!$A:$C,2,FALSE)*0.1^9</f>
        <v>302.28523744500029</v>
      </c>
      <c r="I21" s="26">
        <f>VLOOKUP($AC21,'3Q19'!$A:$C,2,FALSE)*0.1^9</f>
        <v>358.0753923610003</v>
      </c>
      <c r="J21" s="27">
        <f>VLOOKUP($AC21,'4Q19'!$A:$C,2,FALSE)*0.1^9</f>
        <v>236.39433021900021</v>
      </c>
      <c r="K21" s="26">
        <f>VLOOKUP($AC21,'1Q20'!$A:$C,2,FALSE)*0.1^9</f>
        <v>475.76053223500043</v>
      </c>
      <c r="L21" s="26">
        <f>VLOOKUP($AC21,'2Q20'!$A:$C,2,FALSE)*0.1^9</f>
        <v>492.89678753000044</v>
      </c>
      <c r="M21" s="26">
        <f>VLOOKUP($AC21,'3Q20'!$A:$C,2,FALSE)*0.1^9</f>
        <v>366.35365046800035</v>
      </c>
      <c r="N21" s="27">
        <f>VLOOKUP($AC21,'4Q20'!$A:$C,2,FALSE)*0.1^9</f>
        <v>355.99047078100034</v>
      </c>
      <c r="O21" s="26">
        <f>VLOOKUP($AD21,'1Q21'!$A:$C,2,FALSE)*0.1^9</f>
        <v>331.02853069300028</v>
      </c>
      <c r="P21" s="26">
        <f>VLOOKUP($AD21,'2Q21'!$A:$C,2,FALSE)*0.1^9</f>
        <v>276.03892929100027</v>
      </c>
      <c r="Q21" s="26">
        <f>'3Q21'!B31*0.1^9</f>
        <v>302.54264726000025</v>
      </c>
      <c r="R21" s="27">
        <v>285.86552910800026</v>
      </c>
      <c r="S21" s="26">
        <f>VLOOKUP($AF21,'Q122'!$A:$G,3,FALSE)*0.1^9</f>
        <v>448.9781249440004</v>
      </c>
      <c r="T21" s="26"/>
      <c r="U21" s="26"/>
      <c r="V21" s="27"/>
      <c r="W21" s="26"/>
      <c r="X21" s="26"/>
      <c r="AC21" s="1" t="s">
        <v>225</v>
      </c>
      <c r="AD21" s="108" t="s">
        <v>292</v>
      </c>
      <c r="AF21" s="455" t="s">
        <v>749</v>
      </c>
    </row>
    <row r="22" spans="1:32">
      <c r="A22" s="180" t="s">
        <v>52</v>
      </c>
      <c r="B22" s="180" t="s">
        <v>18</v>
      </c>
      <c r="C22" s="26">
        <f t="shared" ref="C22:K22" si="8">C19-SUM(C20:C21)</f>
        <v>95.285518647000117</v>
      </c>
      <c r="D22" s="26">
        <f t="shared" si="8"/>
        <v>102.34382644200014</v>
      </c>
      <c r="E22" s="26">
        <f t="shared" si="8"/>
        <v>93.731184374999998</v>
      </c>
      <c r="F22" s="27">
        <f t="shared" si="8"/>
        <v>91.892551937999997</v>
      </c>
      <c r="G22" s="26">
        <f t="shared" si="8"/>
        <v>121.71741119100011</v>
      </c>
      <c r="H22" s="26">
        <f t="shared" si="8"/>
        <v>175.52228562100015</v>
      </c>
      <c r="I22" s="26">
        <f t="shared" si="8"/>
        <v>188.01640535200011</v>
      </c>
      <c r="J22" s="27">
        <f t="shared" si="8"/>
        <v>217.95729515100027</v>
      </c>
      <c r="K22" s="26">
        <f t="shared" si="8"/>
        <v>228.12986262000004</v>
      </c>
      <c r="L22" s="26">
        <f t="shared" ref="L22" si="9">L19-SUM(L20:L21)</f>
        <v>127.17260648000001</v>
      </c>
      <c r="M22" s="26">
        <f t="shared" ref="M22:Q22" si="10">M19-SUM(M20:M21)</f>
        <v>127.02926467300017</v>
      </c>
      <c r="N22" s="27">
        <f t="shared" ref="N22" si="11">N19-SUM(N20:N21)</f>
        <v>231.58833830300011</v>
      </c>
      <c r="O22" s="26">
        <f t="shared" si="10"/>
        <v>247.62820412900021</v>
      </c>
      <c r="P22" s="26">
        <f t="shared" si="10"/>
        <v>182.95179885800019</v>
      </c>
      <c r="Q22" s="26">
        <f t="shared" si="10"/>
        <v>165.97217532100012</v>
      </c>
      <c r="R22" s="27">
        <v>228.57790416400019</v>
      </c>
      <c r="S22" s="26">
        <f>S19-S20-S21</f>
        <v>235.61908319900027</v>
      </c>
      <c r="T22" s="26"/>
      <c r="U22" s="26"/>
      <c r="V22" s="27"/>
      <c r="W22" s="26"/>
      <c r="X22" s="26"/>
      <c r="AF22" s="455"/>
    </row>
    <row r="23" spans="1:32">
      <c r="A23" s="181" t="s">
        <v>53</v>
      </c>
      <c r="B23" s="181" t="s">
        <v>379</v>
      </c>
      <c r="C23" s="26">
        <f>VLOOKUP($AC23,'1Q18'!$A:$C,2,FALSE)*0.1^9</f>
        <v>1153.6677755500011</v>
      </c>
      <c r="D23" s="26">
        <f>VLOOKUP($AC23,'2Q18'!$A:$C,2,FALSE)*0.1^9</f>
        <v>1227.7244724670011</v>
      </c>
      <c r="E23" s="26">
        <f>VLOOKUP($AC23,'3Q18'!$A:$C,2,FALSE)*0.1^9</f>
        <v>1086.3280944940009</v>
      </c>
      <c r="F23" s="27">
        <f>VLOOKUP($AC23,'4Q18'!$A:$C,2,FALSE)*0.1^9</f>
        <v>1125.5299693650011</v>
      </c>
      <c r="G23" s="26">
        <f>VLOOKUP($AC23,'1Q19'!$A:$C,2,FALSE)*0.1^9</f>
        <v>1229.1845251200011</v>
      </c>
      <c r="H23" s="26">
        <f>VLOOKUP($AC23,'2Q19'!$A:$C,2,FALSE)*0.1^9</f>
        <v>1107.8820020730009</v>
      </c>
      <c r="I23" s="26">
        <f>VLOOKUP($AC23,'3Q19'!$A:$C,2,FALSE)*0.1^9</f>
        <v>1088.8952344370009</v>
      </c>
      <c r="J23" s="27">
        <f>VLOOKUP($AC23,'4Q19'!$A:$C,2,FALSE)*0.1^9</f>
        <v>1101.9495017360009</v>
      </c>
      <c r="K23" s="26">
        <f>VLOOKUP($AC23,'1Q20'!$A:$C,2,FALSE)*0.1^9</f>
        <v>1161.8606576860011</v>
      </c>
      <c r="L23" s="26">
        <f>VLOOKUP($AC23,'2Q20'!$A:$C,2,FALSE)*0.1^9</f>
        <v>1084.2238475600009</v>
      </c>
      <c r="M23" s="26">
        <f>VLOOKUP($AC23,'3Q20'!$A:$C,2,FALSE)*0.1^9</f>
        <v>1018.2301441750009</v>
      </c>
      <c r="N23" s="27">
        <f>VLOOKUP($AC23,'4Q20'!$A:$C,2,FALSE)*0.1^9</f>
        <v>905.65370904400083</v>
      </c>
      <c r="O23" s="26">
        <f>VLOOKUP($AC23,'1Q21'!$A:$C,2,FALSE)*0.1^9</f>
        <v>950.24122832200089</v>
      </c>
      <c r="P23" s="26">
        <f>VLOOKUP($AC23,'2Q21'!$A:$C,2,FALSE)*0.1^9</f>
        <v>914.87628333600082</v>
      </c>
      <c r="Q23" s="26">
        <f>VLOOKUP($AC23,'3Q21'!$A:$C,2,FALSE)*0.1^9</f>
        <v>952.20807743400087</v>
      </c>
      <c r="R23" s="27">
        <v>930.97889506200079</v>
      </c>
      <c r="S23" s="26">
        <f>VLOOKUP($AF23,'Q122'!$A:$G,4,FALSE)*0.1^9</f>
        <v>969.35848831900091</v>
      </c>
      <c r="T23" s="26"/>
      <c r="U23" s="26"/>
      <c r="V23" s="27"/>
      <c r="W23" s="26"/>
      <c r="X23" s="26"/>
      <c r="AC23" s="1" t="s">
        <v>232</v>
      </c>
      <c r="AF23" s="455" t="s">
        <v>759</v>
      </c>
    </row>
    <row r="24" spans="1:32">
      <c r="A24" s="180" t="s">
        <v>497</v>
      </c>
      <c r="B24" s="180" t="s">
        <v>479</v>
      </c>
      <c r="C24" s="26">
        <f>VLOOKUP($AC24,'1Q18'!$A:$C,2,FALSE)*0.1^9</f>
        <v>860.62208847000079</v>
      </c>
      <c r="D24" s="26">
        <f>SUM('2Q18'!B40:B41)/10^9</f>
        <v>918.915395171</v>
      </c>
      <c r="E24" s="26">
        <f>SUM('3Q18'!B41:B42)/10^9</f>
        <v>815.15156935000005</v>
      </c>
      <c r="F24" s="27">
        <f>SUM('4Q18'!B43:B44)/10^9</f>
        <v>808.12517316000003</v>
      </c>
      <c r="G24" s="26">
        <f>SUM('1Q19'!B84:B85)/10^9</f>
        <v>796.924217505</v>
      </c>
      <c r="H24" s="26">
        <f>SUM('2Q19'!B82:B83)/10^9</f>
        <v>633.01032878900003</v>
      </c>
      <c r="I24" s="26">
        <f>VLOOKUP($AC24,'3Q19'!$A:$C,2,FALSE)*0.1^9</f>
        <v>614.37466767600051</v>
      </c>
      <c r="J24" s="27">
        <f>VLOOKUP($AC24,'4Q19'!$A:$C,2,FALSE)*0.1^9</f>
        <v>611.69024482900056</v>
      </c>
      <c r="K24" s="26">
        <f>VLOOKUP($AC24,'1Q20'!$A:$C,2,FALSE)*0.1^9</f>
        <v>627.72890929400057</v>
      </c>
      <c r="L24" s="26">
        <f>VLOOKUP($AC24,'2Q20'!$A:$C,2,FALSE)*0.1^9</f>
        <v>555.58069143500052</v>
      </c>
      <c r="M24" s="26">
        <f>VLOOKUP($AC24,'3Q20'!$A:$C,2,FALSE)*0.1^9</f>
        <v>520.40857973200048</v>
      </c>
      <c r="N24" s="27">
        <f>VLOOKUP($AC24,'4Q20'!$A:$C,2,FALSE)*0.1^9</f>
        <v>507.11663165500045</v>
      </c>
      <c r="O24" s="26">
        <f>+'1Q21'!B40/10^9</f>
        <v>516.38375839699995</v>
      </c>
      <c r="P24" s="26">
        <f>+'2Q21'!B40/10^9</f>
        <v>414.25045325999997</v>
      </c>
      <c r="Q24" s="26">
        <f>+'3Q21'!B40/10^9</f>
        <v>425.937033633</v>
      </c>
      <c r="R24" s="27">
        <f>+'4Q21'!B41/10^9</f>
        <v>421.06786913600001</v>
      </c>
      <c r="S24" s="26">
        <f>VLOOKUP($AF24,'Q122'!$A:$G,3,FALSE)*0.1^9</f>
        <v>423.40561887700039</v>
      </c>
      <c r="T24" s="26"/>
      <c r="U24" s="26"/>
      <c r="V24" s="27"/>
      <c r="W24" s="26"/>
      <c r="X24" s="26"/>
      <c r="AC24" s="1" t="s">
        <v>234</v>
      </c>
      <c r="AD24" s="108" t="s">
        <v>292</v>
      </c>
      <c r="AF24" s="455" t="s">
        <v>760</v>
      </c>
    </row>
    <row r="25" spans="1:32" s="5" customFormat="1">
      <c r="A25" s="180" t="s">
        <v>100</v>
      </c>
      <c r="B25" s="180" t="s">
        <v>105</v>
      </c>
      <c r="C25" s="26">
        <f>VLOOKUP($AC25,'1Q18'!$A:$C,2,FALSE)*0.1^9</f>
        <v>5.2605837720000048</v>
      </c>
      <c r="D25" s="26">
        <f>VLOOKUP($AC25,'2Q18'!$A:$C,2,FALSE)*0.1^9</f>
        <v>0.48153683600000041</v>
      </c>
      <c r="E25" s="26">
        <f>VLOOKUP($AC25,'3Q18'!$A:$C,2,FALSE)*0.1^9</f>
        <v>0.43873983500000041</v>
      </c>
      <c r="F25" s="27">
        <f>VLOOKUP($AC25,'4Q18'!$A:$C,2,FALSE)*0.1^9</f>
        <v>0.40977023300000037</v>
      </c>
      <c r="G25" s="26">
        <f>VLOOKUP($AC25,'1Q19'!$A:$C,2,FALSE)*0.1^9</f>
        <v>106.0984812250001</v>
      </c>
      <c r="H25" s="26">
        <f>VLOOKUP($AC25,'2Q19'!$A:$C,2,FALSE)*0.1^9</f>
        <v>125.40778576500011</v>
      </c>
      <c r="I25" s="26">
        <f>VLOOKUP($AC25,'3Q19'!$A:$C,2,FALSE)*0.1^9</f>
        <v>128.28463630700011</v>
      </c>
      <c r="J25" s="27">
        <f>VLOOKUP($AC25,'4Q19'!$A:$C,2,FALSE)*0.1^9</f>
        <v>117.2209490350001</v>
      </c>
      <c r="K25" s="26">
        <f>VLOOKUP($AC25,'1Q20'!$A:$C,2,FALSE)*0.1^9</f>
        <v>115.3094984180001</v>
      </c>
      <c r="L25" s="26">
        <f>VLOOKUP($AC25,'2Q20'!$A:$C,2,FALSE)*0.1^9</f>
        <v>110.5159314190001</v>
      </c>
      <c r="M25" s="26">
        <f>VLOOKUP($AC25,'3Q20'!$A:$C,2,FALSE)*0.1^9</f>
        <v>106.1341979460001</v>
      </c>
      <c r="N25" s="27">
        <f>VLOOKUP($AC25,'4Q20'!$A:$C,2,FALSE)*0.1^9</f>
        <v>108.6558194270001</v>
      </c>
      <c r="O25" s="26">
        <f>+'1Q21'!B41/10^9</f>
        <v>106.16854959699999</v>
      </c>
      <c r="P25" s="26">
        <f>+'2Q21'!B41/10^9</f>
        <v>104.23286292100001</v>
      </c>
      <c r="Q25" s="26">
        <f>+'3Q21'!B41/10^9</f>
        <v>102.31680056899999</v>
      </c>
      <c r="R25" s="27">
        <f>+'4Q21'!B42/10^9</f>
        <v>84.710565048000007</v>
      </c>
      <c r="S25" s="26">
        <f>'Q122'!C41*0.1^9</f>
        <v>86.339570924000071</v>
      </c>
      <c r="T25" s="26"/>
      <c r="U25" s="26"/>
      <c r="V25" s="27"/>
      <c r="W25" s="26"/>
      <c r="X25" s="26"/>
      <c r="Z25" s="1"/>
      <c r="AA25" s="377"/>
      <c r="AC25" s="5" t="s">
        <v>236</v>
      </c>
      <c r="AD25" s="108" t="s">
        <v>293</v>
      </c>
      <c r="AF25" s="455" t="s">
        <v>751</v>
      </c>
    </row>
    <row r="26" spans="1:32" s="5" customFormat="1">
      <c r="A26" s="180" t="s">
        <v>101</v>
      </c>
      <c r="B26" s="180" t="s">
        <v>496</v>
      </c>
      <c r="C26" s="26">
        <f>VLOOKUP($AE26,'1Q18'!$A:$C,2,FALSE)*0.1^9</f>
        <v>163.73532120700014</v>
      </c>
      <c r="D26" s="26">
        <f>VLOOKUP($AE26,'2Q18'!$A:$C,2,FALSE)*0.1^9</f>
        <v>174.26804903200016</v>
      </c>
      <c r="E26" s="26">
        <f>VLOOKUP($AE26,'3Q18'!$A:$C,2,FALSE)*0.1^9</f>
        <v>131.41665578200011</v>
      </c>
      <c r="F26" s="62">
        <f>VLOOKUP($AE26,'4Q18'!$A:$C,2,FALSE)*0.1^9</f>
        <v>131.07654970900012</v>
      </c>
      <c r="G26" s="26">
        <f>VLOOKUP($AC26,'1Q19'!$A:$C,2,FALSE)*0.1^9</f>
        <v>136.48476024700011</v>
      </c>
      <c r="H26" s="26">
        <f>VLOOKUP($AC26,'2Q19'!$A:$C,2,FALSE)*0.1^9</f>
        <v>139.43884346900012</v>
      </c>
      <c r="I26" s="26">
        <f>VLOOKUP($AC26,'3Q19'!$A:$C,2,FALSE)*0.1^9</f>
        <v>119.51031171000011</v>
      </c>
      <c r="J26" s="62">
        <f>VLOOKUP($AC26,'4Q19'!$A:$C,2,FALSE)*0.1^9</f>
        <v>147.45557232200014</v>
      </c>
      <c r="K26" s="26">
        <f>VLOOKUP($AC26,'1Q20'!$A:$C,2,FALSE)*0.1^9</f>
        <v>157.60878301300014</v>
      </c>
      <c r="L26" s="26">
        <f>VLOOKUP($AC26,'2Q20'!$A:$C,2,FALSE)*0.1^9</f>
        <v>159.96004782300014</v>
      </c>
      <c r="M26" s="26">
        <f>VLOOKUP($AC26,'3Q20'!$A:$C,2,FALSE)*0.1^9</f>
        <v>140.75309871100012</v>
      </c>
      <c r="N26" s="62">
        <f>VLOOKUP($AC26,'4Q20'!$A:$C,2,FALSE)*0.1^9</f>
        <v>130.6840238740001</v>
      </c>
      <c r="O26" s="26">
        <f>VLOOKUP($AC26,'1Q21'!$A:$C,2,FALSE)*0.1^9</f>
        <v>136.34240919300012</v>
      </c>
      <c r="P26" s="26">
        <f>VLOOKUP($AC26,'2Q21'!$A:$C,2,FALSE)*0.1^9</f>
        <v>137.13979531200013</v>
      </c>
      <c r="Q26" s="26">
        <f>VLOOKUP($AC26,'3Q21'!$A:$C,2,FALSE)*0.1^9</f>
        <v>135.98807325300012</v>
      </c>
      <c r="R26" s="62">
        <v>126.06081756400012</v>
      </c>
      <c r="S26" s="26">
        <f>VLOOKUP($AF26,'Q122'!$A:$G,3,FALSE)*0.1^9</f>
        <v>126.89015118200011</v>
      </c>
      <c r="T26" s="26"/>
      <c r="U26" s="26"/>
      <c r="V26" s="62"/>
      <c r="W26" s="26"/>
      <c r="X26" s="26"/>
      <c r="Z26" s="1"/>
      <c r="AA26" s="377"/>
      <c r="AC26" s="5" t="s">
        <v>238</v>
      </c>
      <c r="AE26" s="108" t="s">
        <v>308</v>
      </c>
      <c r="AF26" s="455" t="s">
        <v>761</v>
      </c>
    </row>
    <row r="27" spans="1:32">
      <c r="A27" s="180" t="s">
        <v>102</v>
      </c>
      <c r="B27" s="180" t="s">
        <v>107</v>
      </c>
      <c r="C27" s="26">
        <f>VLOOKUP($AC27,'1Q18'!$A:$C,2,FALSE)*0.1^9</f>
        <v>76.017715196000069</v>
      </c>
      <c r="D27" s="26">
        <f>VLOOKUP($AC27,'2Q18'!$A:$C,2,FALSE)*0.1^9</f>
        <v>91.519426688000081</v>
      </c>
      <c r="E27" s="26">
        <f>VLOOKUP($AC27,'3Q18'!$A:$C,2,FALSE)*0.1^9</f>
        <v>98.539359031000089</v>
      </c>
      <c r="F27" s="27">
        <f>VLOOKUP($AC27,'4Q18'!$A:$C,2,FALSE)*0.1^9</f>
        <v>142.58305057400014</v>
      </c>
      <c r="G27" s="26">
        <f>VLOOKUP($AC27,'1Q19'!$A:$C,2,FALSE)*0.1^9</f>
        <v>151.64645014700014</v>
      </c>
      <c r="H27" s="26">
        <f>VLOOKUP($AC27,'2Q19'!$A:$C,2,FALSE)*0.1^9</f>
        <v>170.55316964500014</v>
      </c>
      <c r="I27" s="26">
        <f>VLOOKUP($AC27,'3Q19'!$A:$C,2,FALSE)*0.1^9</f>
        <v>187.29230199200018</v>
      </c>
      <c r="J27" s="27">
        <f>VLOOKUP($AC27,'4Q19'!$A:$C,2,FALSE)*0.1^9</f>
        <v>187.11702526400018</v>
      </c>
      <c r="K27" s="26">
        <f>VLOOKUP($AC27,'1Q20'!$A:$C,2,FALSE)*0.1^9</f>
        <v>217.81509056000019</v>
      </c>
      <c r="L27" s="26">
        <f>VLOOKUP($AC27,'2Q20'!$A:$C,2,FALSE)*0.1^9</f>
        <v>217.75548448000021</v>
      </c>
      <c r="M27" s="26">
        <f>VLOOKUP($AC27,'3Q20'!$A:$C,2,FALSE)*0.1^9</f>
        <v>209.64213941500017</v>
      </c>
      <c r="N27" s="27">
        <f>VLOOKUP($AC27,'4Q20'!$A:$C,2,FALSE)*0.1^9</f>
        <v>131.45349044200012</v>
      </c>
      <c r="O27" s="26">
        <f>VLOOKUP($AC27,'1Q21'!$A:$C,2,FALSE)*0.1^9</f>
        <v>162.02650188900014</v>
      </c>
      <c r="P27" s="26">
        <f>VLOOKUP($AC27,'2Q21'!$A:$C,2,FALSE)*0.1^9</f>
        <v>230.24711159500021</v>
      </c>
      <c r="Q27" s="26">
        <f>VLOOKUP($AC27,'3Q21'!$A:$C,2,FALSE)*0.1^9</f>
        <v>257.9489306920002</v>
      </c>
      <c r="R27" s="27">
        <f>+'4Q21'!B45/10^9</f>
        <v>268.303092865</v>
      </c>
      <c r="S27" s="26">
        <f>VLOOKUP($AF27,'Q122'!$A:$G,3,FALSE)*0.1^9</f>
        <v>301.12703052000029</v>
      </c>
      <c r="T27" s="26"/>
      <c r="U27" s="26"/>
      <c r="V27" s="27"/>
      <c r="W27" s="26"/>
      <c r="X27" s="26"/>
      <c r="AC27" s="1" t="s">
        <v>239</v>
      </c>
      <c r="AF27" s="455" t="s">
        <v>762</v>
      </c>
    </row>
    <row r="28" spans="1:32" ht="12.75">
      <c r="A28" s="180" t="s">
        <v>54</v>
      </c>
      <c r="B28" s="180" t="s">
        <v>19</v>
      </c>
      <c r="C28" s="26">
        <f t="shared" ref="C28:K28" si="12">C23-SUM(C24:C27)</f>
        <v>48.032066904999965</v>
      </c>
      <c r="D28" s="26">
        <f t="shared" si="12"/>
        <v>42.540064740000844</v>
      </c>
      <c r="E28" s="26">
        <f t="shared" si="12"/>
        <v>40.781770496000718</v>
      </c>
      <c r="F28" s="27">
        <f t="shared" si="12"/>
        <v>43.335425689000886</v>
      </c>
      <c r="G28" s="26">
        <f t="shared" si="12"/>
        <v>38.030615996000734</v>
      </c>
      <c r="H28" s="26">
        <f t="shared" si="12"/>
        <v>39.471874405000563</v>
      </c>
      <c r="I28" s="26">
        <f t="shared" si="12"/>
        <v>39.433316751999882</v>
      </c>
      <c r="J28" s="27">
        <f t="shared" si="12"/>
        <v>38.465710285999876</v>
      </c>
      <c r="K28" s="26">
        <f t="shared" si="12"/>
        <v>43.398376401000178</v>
      </c>
      <c r="L28" s="26">
        <f t="shared" ref="L28" si="13">L23-SUM(L24:L27)</f>
        <v>40.411692402999961</v>
      </c>
      <c r="M28" s="26">
        <f t="shared" ref="M28:Q28" si="14">M23-SUM(M24:M27)</f>
        <v>41.29212837099999</v>
      </c>
      <c r="N28" s="27">
        <f t="shared" ref="N28" si="15">N23-SUM(N24:N27)</f>
        <v>27.743743646000098</v>
      </c>
      <c r="O28" s="26">
        <f t="shared" si="14"/>
        <v>29.320009246000723</v>
      </c>
      <c r="P28" s="26">
        <f t="shared" si="14"/>
        <v>29.006060248000495</v>
      </c>
      <c r="Q28" s="26">
        <f t="shared" si="14"/>
        <v>30.017239287000507</v>
      </c>
      <c r="R28" s="27">
        <f>+R23-SUM(R24:R27)</f>
        <v>30.836550449000583</v>
      </c>
      <c r="S28" s="26">
        <f>S23-SUM(S24:S27)</f>
        <v>31.596116816000062</v>
      </c>
      <c r="T28" s="26"/>
      <c r="U28" s="26"/>
      <c r="V28" s="27"/>
      <c r="W28" s="26"/>
      <c r="X28" s="26"/>
    </row>
    <row r="29" spans="1:32" s="4" customFormat="1" ht="16.5">
      <c r="A29" s="182" t="s">
        <v>39</v>
      </c>
      <c r="B29" s="182" t="s">
        <v>8</v>
      </c>
      <c r="C29" s="28">
        <f>VLOOKUP($AC29,'1Q18'!$A:$C,2,FALSE)*0.1^9</f>
        <v>1926.3672956880016</v>
      </c>
      <c r="D29" s="28">
        <f>VLOOKUP($AC29,'2Q18'!$A:$C,2,FALSE)*0.1^9</f>
        <v>1915.6861524860017</v>
      </c>
      <c r="E29" s="28">
        <f>VLOOKUP($AC29,'3Q18'!$A:$C,2,FALSE)*0.1^9</f>
        <v>1742.2382783430016</v>
      </c>
      <c r="F29" s="29">
        <f>VLOOKUP($AC29,'4Q18'!$A:$C,2,FALSE)*0.1^9</f>
        <v>1797.8456319110016</v>
      </c>
      <c r="G29" s="28">
        <f>VLOOKUP($AC29,'1Q19'!$A:$C,2,FALSE)*0.1^9</f>
        <v>2057.2675791640017</v>
      </c>
      <c r="H29" s="28">
        <f>VLOOKUP($AC29,'2Q19'!$A:$C,2,FALSE)*0.1^9</f>
        <v>2028.6580622640017</v>
      </c>
      <c r="I29" s="28">
        <f>VLOOKUP($AC29,'3Q19'!$A:$C,2,FALSE)*0.1^9</f>
        <v>2076.3101572860019</v>
      </c>
      <c r="J29" s="29">
        <f>VLOOKUP($AC29,'4Q19'!$A:$C,2,FALSE)*0.1^9</f>
        <v>1969.3055106360018</v>
      </c>
      <c r="K29" s="28">
        <f>VLOOKUP($AC29,'1Q20'!$A:$C,2,FALSE)*0.1^9</f>
        <v>2246.7928478820022</v>
      </c>
      <c r="L29" s="28">
        <f>VLOOKUP($AC29,'2Q20'!$A:$C,2,FALSE)*0.1^9</f>
        <v>2070.3180705080017</v>
      </c>
      <c r="M29" s="28">
        <f>VLOOKUP($AC29,'3Q20'!$A:$C,2,FALSE)*0.1^9</f>
        <v>1931.1007628420018</v>
      </c>
      <c r="N29" s="29">
        <f>VLOOKUP($AC29,'4Q20'!$A:$C,2,FALSE)*0.1^9</f>
        <v>1901.1134418150016</v>
      </c>
      <c r="O29" s="28">
        <f>VLOOKUP($AC29,'1Q21'!$A:$C,2,FALSE)*0.1^9</f>
        <v>1955.6551658790017</v>
      </c>
      <c r="P29" s="28">
        <f>VLOOKUP($AC29,'2Q21'!$A:$C,2,FALSE)*0.1^9</f>
        <v>1845.6040380850015</v>
      </c>
      <c r="Q29" s="28">
        <f>VLOOKUP($AC29,'3Q21'!$A:$C,2,FALSE)*0.1^9</f>
        <v>1946.4027428050017</v>
      </c>
      <c r="R29" s="29">
        <v>1982.3675790880018</v>
      </c>
      <c r="S29" s="28">
        <f>VLOOKUP($AF29,'Q122'!$A:$G,4,FALSE)*0.1^9</f>
        <v>2217.667058287002</v>
      </c>
      <c r="T29" s="28"/>
      <c r="U29" s="28"/>
      <c r="V29" s="29"/>
      <c r="W29" s="28"/>
      <c r="X29" s="28"/>
      <c r="Z29" s="1"/>
      <c r="AA29" s="377"/>
      <c r="AC29" s="4" t="s">
        <v>242</v>
      </c>
      <c r="AF29" s="455" t="s">
        <v>766</v>
      </c>
    </row>
    <row r="30" spans="1:32">
      <c r="A30" s="184" t="s">
        <v>40</v>
      </c>
      <c r="B30" s="184" t="s">
        <v>498</v>
      </c>
      <c r="C30" s="30"/>
      <c r="D30" s="30"/>
      <c r="E30" s="30"/>
      <c r="F30" s="31"/>
      <c r="G30" s="30"/>
      <c r="H30" s="30"/>
      <c r="I30" s="30"/>
      <c r="J30" s="31"/>
      <c r="K30" s="30"/>
      <c r="L30" s="30"/>
      <c r="M30" s="30"/>
      <c r="N30" s="31"/>
      <c r="O30" s="30"/>
      <c r="P30" s="30"/>
      <c r="Q30" s="30"/>
      <c r="R30" s="31"/>
      <c r="S30" s="30"/>
      <c r="T30" s="30"/>
      <c r="U30" s="30"/>
      <c r="V30" s="31"/>
      <c r="W30" s="30"/>
      <c r="X30" s="30"/>
    </row>
    <row r="31" spans="1:32">
      <c r="A31" s="416" t="s">
        <v>500</v>
      </c>
      <c r="B31" s="417" t="s">
        <v>499</v>
      </c>
      <c r="C31" s="24">
        <f>VLOOKUP($AC31,'1Q18'!$A:$C,2,FALSE)*0.1^9</f>
        <v>844.83977152100078</v>
      </c>
      <c r="D31" s="24">
        <f>VLOOKUP($AC31,'2Q18'!$A:$C,2,FALSE)*0.1^9</f>
        <v>954.59425498900089</v>
      </c>
      <c r="E31" s="24">
        <f>VLOOKUP($AC31,'3Q18'!$A:$C,2,FALSE)*0.1^9</f>
        <v>981.16586326500089</v>
      </c>
      <c r="F31" s="25">
        <f>VLOOKUP($AC31,'4Q18'!$A:$C,2,FALSE)*0.1^9</f>
        <v>991.67784202100086</v>
      </c>
      <c r="G31" s="24">
        <f>VLOOKUP($AC31,'1Q19'!$A:$C,2,FALSE)*0.1^9</f>
        <v>1070.7961205530009</v>
      </c>
      <c r="H31" s="24">
        <f>VLOOKUP($AC31,'2Q19'!$A:$C,2,FALSE)*0.1^9</f>
        <v>1165.716103335001</v>
      </c>
      <c r="I31" s="24">
        <f>VLOOKUP($AC31,'3Q19'!$A:$C,2,FALSE)*0.1^9</f>
        <v>1290.6229595970012</v>
      </c>
      <c r="J31" s="25">
        <f>VLOOKUP($AC31,'4Q19'!$A:$C,2,FALSE)*0.1^9</f>
        <v>1249.6535743810011</v>
      </c>
      <c r="K31" s="24">
        <f>VLOOKUP($AC31,'1Q20'!$A:$C,2,FALSE)*0.1^9</f>
        <v>1306.8499887880012</v>
      </c>
      <c r="L31" s="24">
        <f>VLOOKUP($AC31,'2Q20'!$A:$C,2,FALSE)*0.1^9</f>
        <v>1326.1099844240011</v>
      </c>
      <c r="M31" s="24">
        <f>VLOOKUP($AC31,'3Q20'!$A:$C,2,FALSE)*0.1^9</f>
        <v>1377.1883007320012</v>
      </c>
      <c r="N31" s="25">
        <f>VLOOKUP($AC31,'4Q20'!$A:$C,2,FALSE)*0.1^9</f>
        <v>1292.4361250230011</v>
      </c>
      <c r="O31" s="24">
        <f>VLOOKUP($AC31,'1Q21'!$A:$C,2,FALSE)*0.1^9</f>
        <v>1414.6724281490012</v>
      </c>
      <c r="P31" s="24">
        <f>VLOOKUP($AC31,'2Q21'!$A:$C,2,FALSE)*0.1^9</f>
        <v>1522.3021734310014</v>
      </c>
      <c r="Q31" s="24">
        <f>VLOOKUP($AC31,'3Q21'!$A:$C,2,FALSE)*0.1^9</f>
        <v>1630.5452435860016</v>
      </c>
      <c r="R31" s="25">
        <v>1610.9453519150015</v>
      </c>
      <c r="S31" s="24">
        <f>VLOOKUP($AF31,'Q122'!$A:$G,4,FALSE)*0.1^9</f>
        <v>1652.7606811100015</v>
      </c>
      <c r="T31" s="24"/>
      <c r="U31" s="24"/>
      <c r="V31" s="25"/>
      <c r="W31" s="24"/>
      <c r="X31" s="24"/>
      <c r="AC31" s="1" t="s">
        <v>244</v>
      </c>
      <c r="AF31" s="455" t="s">
        <v>768</v>
      </c>
    </row>
    <row r="32" spans="1:32">
      <c r="A32" s="180" t="s">
        <v>501</v>
      </c>
      <c r="B32" s="180" t="s">
        <v>504</v>
      </c>
      <c r="C32" s="26">
        <f>VLOOKUP($AC32,'1Q18'!$A:$C,2,FALSE)*0.1^9</f>
        <v>61.115070000000053</v>
      </c>
      <c r="D32" s="26">
        <f>VLOOKUP($AC32,'2Q18'!$A:$C,2,FALSE)*0.1^9</f>
        <v>61.115070000000053</v>
      </c>
      <c r="E32" s="26">
        <f>VLOOKUP($AC32,'3Q18'!$A:$C,2,FALSE)*0.1^9</f>
        <v>61.115070000000053</v>
      </c>
      <c r="F32" s="27">
        <f>VLOOKUP($AC32,'4Q18'!$A:$C,2,FALSE)*0.1^9</f>
        <v>61.115070000000053</v>
      </c>
      <c r="G32" s="26">
        <f>VLOOKUP($AC32,'1Q19'!$A:$C,2,FALSE)*0.1^9</f>
        <v>61.115070000000053</v>
      </c>
      <c r="H32" s="26">
        <f>VLOOKUP($AC32,'2Q19'!$A:$C,2,FALSE)*0.1^9</f>
        <v>61.115070000000053</v>
      </c>
      <c r="I32" s="26">
        <f>VLOOKUP($AC32,'3Q19'!$A:$C,2,FALSE)*0.1^9</f>
        <v>61.115070000000053</v>
      </c>
      <c r="J32" s="27">
        <f>VLOOKUP($AC32,'4Q19'!$A:$C,2,FALSE)*0.1^9</f>
        <v>61.115070000000053</v>
      </c>
      <c r="K32" s="26">
        <f>VLOOKUP($AC32,'1Q20'!$A:$C,2,FALSE)*0.1^9</f>
        <v>61.115070000000053</v>
      </c>
      <c r="L32" s="26">
        <f>VLOOKUP($AC32,'2Q20'!$A:$C,2,FALSE)*0.1^9</f>
        <v>61.115070000000053</v>
      </c>
      <c r="M32" s="26">
        <f>VLOOKUP($AC32,'3Q20'!$A:$C,2,FALSE)*0.1^9</f>
        <v>61.115070000000053</v>
      </c>
      <c r="N32" s="27">
        <f>VLOOKUP($AC32,'4Q20'!$A:$C,2,FALSE)*0.1^9</f>
        <v>61.115070000000053</v>
      </c>
      <c r="O32" s="26">
        <f>VLOOKUP($AC32,'1Q21'!$A:$C,2,FALSE)*0.1^9</f>
        <v>61.115070000000053</v>
      </c>
      <c r="P32" s="26">
        <f>VLOOKUP($AC32,'2Q21'!$A:$C,2,FALSE)*0.1^9</f>
        <v>61.115070000000053</v>
      </c>
      <c r="Q32" s="26">
        <f>VLOOKUP($AC32,'3Q21'!$A:$C,2,FALSE)*0.1^9</f>
        <v>61.115070000000053</v>
      </c>
      <c r="R32" s="27">
        <v>61.115070000000053</v>
      </c>
      <c r="S32" s="26">
        <f>VLOOKUP($AF32,'Q122'!$A:$G,3,FALSE)*0.1^9</f>
        <v>61.115070000000053</v>
      </c>
      <c r="T32" s="26"/>
      <c r="U32" s="26"/>
      <c r="V32" s="27"/>
      <c r="W32" s="26"/>
      <c r="X32" s="26"/>
      <c r="AA32" s="378"/>
      <c r="AB32" s="367"/>
      <c r="AC32" s="1" t="s">
        <v>245</v>
      </c>
      <c r="AF32" s="455" t="s">
        <v>769</v>
      </c>
    </row>
    <row r="33" spans="1:32">
      <c r="A33" s="180" t="s">
        <v>502</v>
      </c>
      <c r="B33" s="180" t="s">
        <v>503</v>
      </c>
      <c r="C33" s="26">
        <f>VLOOKUP($AC33,'1Q18'!$A:$C,2,FALSE)*0.1^9</f>
        <v>117.7666793660001</v>
      </c>
      <c r="D33" s="26">
        <f>VLOOKUP($AC33,'2Q18'!$A:$C,2,FALSE)*0.1^9</f>
        <v>117.7666793660001</v>
      </c>
      <c r="E33" s="26">
        <f>VLOOKUP($AC33,'3Q18'!$A:$C,2,FALSE)*0.1^9</f>
        <v>117.7666793660001</v>
      </c>
      <c r="F33" s="27">
        <f>VLOOKUP($AC33,'4Q18'!$A:$C,2,FALSE)*0.1^9</f>
        <v>117.7666793660001</v>
      </c>
      <c r="G33" s="26">
        <f>VLOOKUP($AC33,'1Q19'!$A:$C,2,FALSE)*0.1^9</f>
        <v>117.7666793660001</v>
      </c>
      <c r="H33" s="26">
        <f>VLOOKUP($AC33,'2Q19'!$A:$C,2,FALSE)*0.1^9</f>
        <v>117.7666793660001</v>
      </c>
      <c r="I33" s="26">
        <f>VLOOKUP($AC33,'3Q19'!$A:$C,2,FALSE)*0.1^9</f>
        <v>117.7666793660001</v>
      </c>
      <c r="J33" s="27">
        <f>VLOOKUP($AC33,'4Q19'!$A:$C,2,FALSE)*0.1^9</f>
        <v>117.7666793660001</v>
      </c>
      <c r="K33" s="26">
        <f>VLOOKUP($AC33,'1Q20'!$A:$C,2,FALSE)*0.1^9</f>
        <v>117.7666793660001</v>
      </c>
      <c r="L33" s="26">
        <f>VLOOKUP($AC33,'2Q20'!$A:$C,2,FALSE)*0.1^9</f>
        <v>117.7666793660001</v>
      </c>
      <c r="M33" s="26">
        <f>VLOOKUP($AC33,'3Q20'!$A:$C,2,FALSE)*0.1^9</f>
        <v>117.7666793660001</v>
      </c>
      <c r="N33" s="27">
        <f>VLOOKUP($AC33,'4Q20'!$A:$C,2,FALSE)*0.1^9</f>
        <v>117.7666793660001</v>
      </c>
      <c r="O33" s="26">
        <f>VLOOKUP($AC33,'1Q21'!$A:$C,2,FALSE)*0.1^9</f>
        <v>117.7666793660001</v>
      </c>
      <c r="P33" s="26">
        <f>VLOOKUP($AC33,'2Q21'!$A:$C,2,FALSE)*0.1^9</f>
        <v>117.7666793660001</v>
      </c>
      <c r="Q33" s="26">
        <f>VLOOKUP($AC33,'3Q21'!$A:$C,2,FALSE)*0.1^9</f>
        <v>117.7666793660001</v>
      </c>
      <c r="R33" s="27">
        <v>108.0884017520001</v>
      </c>
      <c r="S33" s="26">
        <f>VLOOKUP($AF33,'Q122'!$A:$G,3,FALSE)*0.1^9</f>
        <v>107.12463615200009</v>
      </c>
      <c r="T33" s="26"/>
      <c r="U33" s="26"/>
      <c r="V33" s="27"/>
      <c r="W33" s="26"/>
      <c r="X33" s="26"/>
      <c r="AA33" s="378"/>
      <c r="AB33" s="367"/>
      <c r="AC33" s="1" t="s">
        <v>246</v>
      </c>
      <c r="AF33" s="455" t="s">
        <v>770</v>
      </c>
    </row>
    <row r="34" spans="1:32">
      <c r="A34" s="180" t="s">
        <v>505</v>
      </c>
      <c r="B34" s="180" t="s">
        <v>506</v>
      </c>
      <c r="C34" s="26">
        <f>VLOOKUP($AC34,'1Q18'!$A:$C,2,FALSE)*0.1^9</f>
        <v>-16.778531924000013</v>
      </c>
      <c r="D34" s="26">
        <f>VLOOKUP($AC34,'2Q18'!$A:$C,2,FALSE)*0.1^9</f>
        <v>-16.778526284000016</v>
      </c>
      <c r="E34" s="26">
        <f>VLOOKUP($AC34,'3Q18'!$A:$C,2,FALSE)*0.1^9</f>
        <v>-16.952441555000014</v>
      </c>
      <c r="F34" s="27">
        <f>VLOOKUP($AC34,'4Q18'!$A:$C,2,FALSE)*0.1^9</f>
        <v>-9.0601160610000075</v>
      </c>
      <c r="G34" s="26">
        <f>VLOOKUP($AC34,'1Q19'!$A:$C,2,FALSE)*0.1^9</f>
        <v>-15.659834625000014</v>
      </c>
      <c r="H34" s="26">
        <f>VLOOKUP($AC34,'2Q19'!$A:$C,2,FALSE)*0.1^9</f>
        <v>-15.791518695000015</v>
      </c>
      <c r="I34" s="26">
        <f>VLOOKUP($AC34,'3Q19'!$A:$C,2,FALSE)*0.1^9</f>
        <v>-22.603754494000022</v>
      </c>
      <c r="J34" s="27">
        <f>VLOOKUP($AC34,'4Q19'!$A:$C,2,FALSE)*0.1^9</f>
        <v>-34.296293023000032</v>
      </c>
      <c r="K34" s="26">
        <f>VLOOKUP($AC34,'1Q20'!$A:$C,2,FALSE)*0.1^9</f>
        <v>-28.556443813000026</v>
      </c>
      <c r="L34" s="26">
        <f>VLOOKUP($AC34,'2Q20'!$A:$C,2,FALSE)*0.1^9</f>
        <v>-36.59434046100003</v>
      </c>
      <c r="M34" s="26">
        <f>VLOOKUP($AC34,'3Q20'!$A:$C,2,FALSE)*0.1^9</f>
        <v>-37.758842829000031</v>
      </c>
      <c r="N34" s="27">
        <f>VLOOKUP($AC34,'4Q20'!$A:$C,2,FALSE)*0.1^9</f>
        <v>-39.528618669000032</v>
      </c>
      <c r="O34" s="26">
        <f>VLOOKUP($AC34,'1Q21'!$A:$C,2,FALSE)*0.1^9</f>
        <v>-40.200517005000037</v>
      </c>
      <c r="P34" s="26">
        <f>VLOOKUP($AD34,'2Q21'!$A:$C,2,FALSE)*0.1^9</f>
        <v>-19.641547096000018</v>
      </c>
      <c r="Q34" s="26">
        <f>VLOOKUP($AD34,'3Q21'!$A:$C,2,FALSE)*0.1^9</f>
        <v>-16.030278827000014</v>
      </c>
      <c r="R34" s="27">
        <v>-29.410811836000025</v>
      </c>
      <c r="S34" s="26">
        <f>VLOOKUP($AF34,'Q122'!$A:$G,3,FALSE)*0.1^9</f>
        <v>-29.410811836000025</v>
      </c>
      <c r="T34" s="26"/>
      <c r="U34" s="26"/>
      <c r="V34" s="27"/>
      <c r="W34" s="26"/>
      <c r="X34" s="26"/>
      <c r="AA34" s="378"/>
      <c r="AB34" s="367"/>
      <c r="AC34" s="1" t="s">
        <v>247</v>
      </c>
      <c r="AD34" s="108" t="s">
        <v>356</v>
      </c>
      <c r="AF34" s="455" t="s">
        <v>771</v>
      </c>
    </row>
    <row r="35" spans="1:32">
      <c r="A35" s="180" t="s">
        <v>507</v>
      </c>
      <c r="B35" s="418" t="s">
        <v>508</v>
      </c>
      <c r="C35" s="26">
        <f>VLOOKUP($AC35,'1Q18'!$A:$C,2,FALSE)*0.1^9</f>
        <v>-32.946147246000031</v>
      </c>
      <c r="D35" s="26">
        <f>VLOOKUP($AC35,'2Q18'!$A:$C,2,FALSE)*0.1^9</f>
        <v>10.471630906000009</v>
      </c>
      <c r="E35" s="26">
        <f>VLOOKUP($AC35,'3Q18'!$A:$C,2,FALSE)*0.1^9</f>
        <v>-3.539025712000003</v>
      </c>
      <c r="F35" s="27">
        <f>VLOOKUP($AC35,'4Q18'!$A:$C,2,FALSE)*0.1^9</f>
        <v>-0.58301333700000046</v>
      </c>
      <c r="G35" s="26">
        <f>VLOOKUP($AC35,'1Q19'!$A:$C,2,FALSE)*0.1^9</f>
        <v>16.633973727000015</v>
      </c>
      <c r="H35" s="26">
        <f>VLOOKUP($AC35,'2Q19'!$A:$C,2,FALSE)*0.1^9</f>
        <v>42.357315850000035</v>
      </c>
      <c r="I35" s="26">
        <f>VLOOKUP($AC35,'3Q19'!$A:$C,2,FALSE)*0.1^9</f>
        <v>92.477297205000085</v>
      </c>
      <c r="J35" s="27">
        <f>VLOOKUP($AC35,'4Q19'!$A:$C,2,FALSE)*0.1^9</f>
        <v>25.053811764000024</v>
      </c>
      <c r="K35" s="26">
        <f>VLOOKUP($AC35,'1Q20'!$A:$C,2,FALSE)*0.1^9</f>
        <v>75.391295393000064</v>
      </c>
      <c r="L35" s="26">
        <f>VLOOKUP($AC35,'2Q20'!$A:$C,2,FALSE)*0.1^9</f>
        <v>61.953016523000052</v>
      </c>
      <c r="M35" s="26">
        <f>VLOOKUP($AC35,'3Q20'!$A:$C,2,FALSE)*0.1^9</f>
        <v>54.665844021000048</v>
      </c>
      <c r="N35" s="27">
        <f>VLOOKUP($AC35,'4Q20'!$A:$C,2,FALSE)*0.1^9</f>
        <v>-26.258559358000024</v>
      </c>
      <c r="O35" s="26">
        <f>VLOOKUP($AC35,'1Q21'!$A:$C,2,FALSE)*0.1^9</f>
        <v>22.769115580000019</v>
      </c>
      <c r="P35" s="26">
        <f>VLOOKUP($AD35,'2Q21'!$A:$C,2,FALSE)*0.1^9</f>
        <v>18.640453570000016</v>
      </c>
      <c r="Q35" s="26">
        <f>VLOOKUP($AD35,'3Q21'!$A:$C,2,FALSE)*0.1^9</f>
        <v>68.856622664000056</v>
      </c>
      <c r="R35" s="27">
        <v>65.158275664000058</v>
      </c>
      <c r="S35" s="26">
        <f>VLOOKUP($AF35,'Q122'!$A:$G,3,FALSE)*0.1^9</f>
        <v>89.947053153000084</v>
      </c>
      <c r="T35" s="26"/>
      <c r="U35" s="26"/>
      <c r="V35" s="27"/>
      <c r="W35" s="26"/>
      <c r="X35" s="26"/>
      <c r="AA35" s="378"/>
      <c r="AB35" s="367"/>
      <c r="AC35" s="1" t="s">
        <v>248</v>
      </c>
      <c r="AD35" s="108" t="s">
        <v>357</v>
      </c>
      <c r="AF35" s="455" t="s">
        <v>772</v>
      </c>
    </row>
    <row r="36" spans="1:32">
      <c r="A36" s="180" t="s">
        <v>55</v>
      </c>
      <c r="B36" s="180" t="s">
        <v>20</v>
      </c>
      <c r="C36" s="26">
        <f>VLOOKUP($AE36,'1Q18'!$A:$C,2,FALSE)*0.1^9</f>
        <v>715.68270132500061</v>
      </c>
      <c r="D36" s="26">
        <f>VLOOKUP($AE36,'2Q18'!$A:$C,2,FALSE)*0.1^9</f>
        <v>782.01940100100069</v>
      </c>
      <c r="E36" s="26">
        <f>VLOOKUP($AE36,'3Q18'!$A:$C,2,FALSE)*0.1^9</f>
        <v>822.77558116600073</v>
      </c>
      <c r="F36" s="27">
        <f>VLOOKUP($AC36,'4Q18'!$A:$C,2,FALSE)*0.1^9</f>
        <v>822.43922205300078</v>
      </c>
      <c r="G36" s="26">
        <f>VLOOKUP($AC36,'1Q19'!$A:$C,2,FALSE)*0.1^9</f>
        <v>890.94023208500084</v>
      </c>
      <c r="H36" s="26">
        <f>VLOOKUP($AC36,'2Q19'!$A:$C,2,FALSE)*0.1^9</f>
        <v>960.26855681400082</v>
      </c>
      <c r="I36" s="26">
        <f>VLOOKUP($AC36,'3Q19'!$A:$C,2,FALSE)*0.1^9</f>
        <v>1041.8676675200009</v>
      </c>
      <c r="J36" s="27">
        <f>VLOOKUP($AC36,'4Q19'!$A:$C,2,FALSE)*0.1^9</f>
        <v>1080.014306274001</v>
      </c>
      <c r="K36" s="26">
        <f>VLOOKUP($AC36,'1Q20'!$A:$C,2,FALSE)*0.1^9</f>
        <v>1081.133387842001</v>
      </c>
      <c r="L36" s="26">
        <f>VLOOKUP($AC36,'2Q20'!$A:$C,2,FALSE)*0.1^9</f>
        <v>1121.8695589960009</v>
      </c>
      <c r="M36" s="26">
        <f>VLOOKUP($AC36,'3Q20'!$A:$C,2,FALSE)*0.1^9</f>
        <v>1181.399550174001</v>
      </c>
      <c r="N36" s="27">
        <f>VLOOKUP($AC36,'4Q20'!$A:$C,2,FALSE)*0.1^9</f>
        <v>1179.3415536840012</v>
      </c>
      <c r="O36" s="26">
        <f>VLOOKUP($AC36,'1Q21'!$A:$C,2,FALSE)*0.1^9</f>
        <v>1253.2220802080012</v>
      </c>
      <c r="P36" s="26">
        <f>VLOOKUP($AC36,'2Q21'!$A:$C,2,FALSE)*0.1^9</f>
        <v>1344.4215175910012</v>
      </c>
      <c r="Q36" s="26">
        <f>VLOOKUP($AC36,'3Q21'!$A:$C,2,FALSE)*0.1^9</f>
        <v>1398.8371503830012</v>
      </c>
      <c r="R36" s="27">
        <v>1405.9944163350012</v>
      </c>
      <c r="S36" s="26">
        <f>VLOOKUP($AF36,'Q122'!$A:$G,3,FALSE)*0.1^9</f>
        <v>1423.9847336410012</v>
      </c>
      <c r="T36" s="26"/>
      <c r="U36" s="26"/>
      <c r="V36" s="27"/>
      <c r="W36" s="26"/>
      <c r="X36" s="26"/>
      <c r="AA36" s="378"/>
      <c r="AB36" s="367"/>
      <c r="AC36" s="1" t="s">
        <v>249</v>
      </c>
      <c r="AE36" s="108" t="s">
        <v>309</v>
      </c>
      <c r="AF36" s="455" t="s">
        <v>773</v>
      </c>
    </row>
    <row r="37" spans="1:32">
      <c r="A37" s="181" t="s">
        <v>56</v>
      </c>
      <c r="B37" s="181" t="s">
        <v>509</v>
      </c>
      <c r="C37" s="26">
        <f>VLOOKUP($AC37,'1Q18'!$A:$C,2,FALSE)*0.1^9</f>
        <v>456.55825933400041</v>
      </c>
      <c r="D37" s="26">
        <f>VLOOKUP($AC37,'2Q18'!$A:$C,2,FALSE)*0.1^9</f>
        <v>504.49955706900045</v>
      </c>
      <c r="E37" s="26">
        <f>VLOOKUP($AC37,'3Q18'!$A:$C,2,FALSE)*0.1^9</f>
        <v>506.63303812600043</v>
      </c>
      <c r="F37" s="27">
        <f>VLOOKUP($AC37,'4Q18'!$A:$C,2,FALSE)*0.1^9</f>
        <v>514.81603413800042</v>
      </c>
      <c r="G37" s="26">
        <f>VLOOKUP($AC37,'1Q19'!$A:$C,2,FALSE)*0.1^9</f>
        <v>29.716077076000026</v>
      </c>
      <c r="H37" s="26">
        <f>VLOOKUP($AC37,'2Q19'!$A:$C,2,FALSE)*0.1^9</f>
        <v>22.517523971000021</v>
      </c>
      <c r="I37" s="26">
        <f>VLOOKUP($AC37,'3Q19'!$A:$C,2,FALSE)*0.1^9</f>
        <v>37.528278569000037</v>
      </c>
      <c r="J37" s="27">
        <f>VLOOKUP($AC37,'4Q19'!$A:$C,2,FALSE)*0.1^9</f>
        <v>68.754502288000054</v>
      </c>
      <c r="K37" s="26">
        <f>VLOOKUP($AC37,'1Q20'!$A:$C,2,FALSE)*0.1^9</f>
        <v>567.89990751400046</v>
      </c>
      <c r="L37" s="26">
        <f>VLOOKUP($AC37,'2Q20'!$A:$C,2,FALSE)*0.1^9</f>
        <v>572.57176522300051</v>
      </c>
      <c r="M37" s="26">
        <f>VLOOKUP($AC37,'3Q20'!$A:$C,2,FALSE)*0.1^9</f>
        <v>592.80463321500054</v>
      </c>
      <c r="N37" s="27">
        <f>VLOOKUP($AC37,'4Q20'!$A:$C,2,FALSE)*0.1^9</f>
        <v>564.89168196200046</v>
      </c>
      <c r="O37" s="26">
        <f>VLOOKUP($AC37,'1Q21'!$A:$C,2,FALSE)*0.1^9</f>
        <v>626.34310914000059</v>
      </c>
      <c r="P37" s="26">
        <f>VLOOKUP($AC37,'2Q21'!$A:$C,2,FALSE)*0.1^9</f>
        <v>695.96399083100061</v>
      </c>
      <c r="Q37" s="26">
        <f>VLOOKUP($AC37,'3Q21'!$A:$C,2,FALSE)*0.1^9</f>
        <v>737.79130386700069</v>
      </c>
      <c r="R37" s="27">
        <v>695.54388441100059</v>
      </c>
      <c r="S37" s="26">
        <f>VLOOKUP($AF37,'Q122'!$A:$G,4,FALSE)*0.1^9</f>
        <v>712.95701904700059</v>
      </c>
      <c r="T37" s="26"/>
      <c r="U37" s="26"/>
      <c r="V37" s="27"/>
      <c r="W37" s="26"/>
      <c r="X37" s="26"/>
      <c r="AA37" s="378"/>
      <c r="AB37" s="367"/>
      <c r="AC37" s="1" t="s">
        <v>157</v>
      </c>
      <c r="AF37" s="455" t="s">
        <v>774</v>
      </c>
    </row>
    <row r="38" spans="1:32" s="4" customFormat="1" ht="16.5">
      <c r="A38" s="182" t="s">
        <v>41</v>
      </c>
      <c r="B38" s="182" t="s">
        <v>108</v>
      </c>
      <c r="C38" s="28">
        <f>VLOOKUP($AC38,'1Q18'!$A:$C,2,FALSE)*0.1^9</f>
        <v>1301.3980308550013</v>
      </c>
      <c r="D38" s="28">
        <f>VLOOKUP($AC38,'2Q18'!$A:$C,2,FALSE)*0.1^9</f>
        <v>1459.0938120580013</v>
      </c>
      <c r="E38" s="28">
        <f>VLOOKUP($AC38,'3Q18'!$A:$C,2,FALSE)*0.1^9</f>
        <v>1487.7989013910014</v>
      </c>
      <c r="F38" s="29">
        <f>VLOOKUP($AC38,'4Q18'!$A:$C,2,FALSE)*0.1^9</f>
        <v>1506.4938761590013</v>
      </c>
      <c r="G38" s="28">
        <f>VLOOKUP($AC38,'1Q19'!$A:$C,2,FALSE)*0.1^9</f>
        <v>1606.2028900300015</v>
      </c>
      <c r="H38" s="28">
        <f>VLOOKUP($AC38,'2Q19'!$A:$C,2,FALSE)*0.1^9</f>
        <v>1716.1142241850016</v>
      </c>
      <c r="I38" s="28">
        <f>VLOOKUP($AC38,'3Q19'!$A:$C,2,FALSE)*0.1^9</f>
        <v>1872.9704692600017</v>
      </c>
      <c r="J38" s="29">
        <f>VLOOKUP($AC38,'4Q19'!$A:$C,2,FALSE)*0.1^9</f>
        <v>1800.9436178250016</v>
      </c>
      <c r="K38" s="28">
        <f>VLOOKUP($AC38,'1Q20'!$A:$C,2,FALSE)*0.1^9</f>
        <v>1874.7498963020016</v>
      </c>
      <c r="L38" s="28">
        <f>VLOOKUP($AC38,'2Q20'!$A:$C,2,FALSE)*0.1^9</f>
        <v>1898.6817496470017</v>
      </c>
      <c r="M38" s="28">
        <f>VLOOKUP($AC38,'3Q20'!$A:$C,2,FALSE)*0.1^9</f>
        <v>1969.9929339470018</v>
      </c>
      <c r="N38" s="29">
        <f>VLOOKUP($AC38,'4Q20'!$A:$C,2,FALSE)*0.1^9</f>
        <v>1857.3278069850016</v>
      </c>
      <c r="O38" s="28">
        <f>VLOOKUP($AC38,'1Q21'!$A:$C,2,FALSE)*0.1^9</f>
        <v>2041.0155372890017</v>
      </c>
      <c r="P38" s="28">
        <f>VLOOKUP($AC38,'2Q21'!$A:$C,2,FALSE)*0.1^9</f>
        <v>2218.2661642620019</v>
      </c>
      <c r="Q38" s="28">
        <f>VLOOKUP($AC38,'3Q21'!$A:$C,2,FALSE)*0.1^9</f>
        <v>2368.3365474530019</v>
      </c>
      <c r="R38" s="29">
        <v>2306.4892363260019</v>
      </c>
      <c r="S38" s="28">
        <f>VLOOKUP($AF38,'Q122'!$A:$G,4,FALSE)*0.1^9</f>
        <v>2365.7177001570021</v>
      </c>
      <c r="T38" s="28"/>
      <c r="U38" s="28"/>
      <c r="V38" s="29"/>
      <c r="W38" s="28"/>
      <c r="X38" s="28"/>
      <c r="Y38" s="1"/>
      <c r="Z38" s="1"/>
      <c r="AA38" s="377"/>
      <c r="AC38" s="4" t="s">
        <v>250</v>
      </c>
      <c r="AF38" s="455" t="s">
        <v>775</v>
      </c>
    </row>
    <row r="39" spans="1:32" ht="17.25" thickBot="1">
      <c r="A39" s="185" t="s">
        <v>42</v>
      </c>
      <c r="B39" s="185" t="s">
        <v>382</v>
      </c>
      <c r="C39" s="33">
        <f>VLOOKUP($AC39,'1Q18'!$A:$C,2,FALSE)*0.1^9</f>
        <v>3227.7653265430031</v>
      </c>
      <c r="D39" s="33">
        <f>VLOOKUP($AC39,'2Q18'!$A:$C,2,FALSE)*0.1^9</f>
        <v>3374.7799645440032</v>
      </c>
      <c r="E39" s="33">
        <f>VLOOKUP($AC39,'3Q18'!$A:$C,2,FALSE)*0.1^9</f>
        <v>3230.0371797340031</v>
      </c>
      <c r="F39" s="56">
        <f>VLOOKUP($AC39,'4Q18'!$A:$C,2,FALSE)*0.1^9</f>
        <v>3304.3395080700029</v>
      </c>
      <c r="G39" s="33">
        <f>VLOOKUP($AC39,'1Q19'!$A:$C,2,FALSE)*0.1^9</f>
        <v>3663.4704691940033</v>
      </c>
      <c r="H39" s="33">
        <f>VLOOKUP($AC39,'2Q19'!$A:$C,2,FALSE)*0.1^9</f>
        <v>3744.7722864490033</v>
      </c>
      <c r="I39" s="33">
        <f>VLOOKUP($AC39,'3Q19'!$A:$C,2,FALSE)*0.1^9</f>
        <v>3949.2806265460035</v>
      </c>
      <c r="J39" s="56">
        <f>VLOOKUP($AC39,'4Q19'!$A:$C,2,FALSE)*0.1^9</f>
        <v>3770.2491284610032</v>
      </c>
      <c r="K39" s="33">
        <f>VLOOKUP($AC39,'1Q20'!$A:$C,2,FALSE)*0.1^9</f>
        <v>4121.5427441840038</v>
      </c>
      <c r="L39" s="33">
        <f>VLOOKUP($AC39,'2Q20'!$A:$C,2,FALSE)*0.1^9</f>
        <v>3968.9998201550034</v>
      </c>
      <c r="M39" s="33">
        <f>VLOOKUP($AC39,'3Q20'!$A:$C,2,FALSE)*0.1^9</f>
        <v>3901.0936967890034</v>
      </c>
      <c r="N39" s="56">
        <f>VLOOKUP($AC39,'4Q20'!$A:$C,2,FALSE)*0.1^9</f>
        <v>3758.4412488000035</v>
      </c>
      <c r="O39" s="33">
        <f>VLOOKUP($AC39,'1Q21'!$A:$C,2,FALSE)*0.1^9</f>
        <v>3996.6707031680035</v>
      </c>
      <c r="P39" s="33">
        <f>VLOOKUP($AC39,'2Q21'!$A:$C,2,FALSE)*0.1^9</f>
        <v>4063.8702023470037</v>
      </c>
      <c r="Q39" s="33">
        <f>VLOOKUP($AC39,'3Q21'!$A:$C,2,FALSE)*0.1^9</f>
        <v>4314.7392902580041</v>
      </c>
      <c r="R39" s="56">
        <v>4288.8568154140039</v>
      </c>
      <c r="S39" s="33">
        <f>VLOOKUP($AF39,'Q122'!$A:$G,4,FALSE)*0.1^9</f>
        <v>4583.3847584440036</v>
      </c>
      <c r="T39" s="33"/>
      <c r="U39" s="33"/>
      <c r="V39" s="56"/>
      <c r="W39" s="33"/>
      <c r="X39" s="33"/>
      <c r="AC39" s="1" t="s">
        <v>251</v>
      </c>
      <c r="AF39" s="461" t="s">
        <v>776</v>
      </c>
    </row>
    <row r="40" spans="1:32" ht="10.5" customHeight="1">
      <c r="A40" s="187"/>
      <c r="B40" s="187"/>
      <c r="C40" s="188"/>
      <c r="D40" s="188"/>
      <c r="E40" s="188"/>
      <c r="F40" s="189"/>
      <c r="G40" s="188"/>
      <c r="H40" s="188"/>
      <c r="I40" s="188"/>
      <c r="J40" s="189"/>
      <c r="K40" s="188"/>
      <c r="L40" s="188"/>
      <c r="M40" s="188"/>
      <c r="N40" s="189"/>
      <c r="O40" s="188"/>
      <c r="P40" s="188"/>
      <c r="Q40" s="188"/>
      <c r="R40" s="189"/>
      <c r="S40" s="188"/>
      <c r="T40" s="188"/>
      <c r="U40" s="188"/>
      <c r="V40" s="189"/>
      <c r="W40" s="188"/>
      <c r="X40" s="188"/>
    </row>
    <row r="41" spans="1:32">
      <c r="A41" s="149" t="s">
        <v>58</v>
      </c>
      <c r="B41" s="149" t="s">
        <v>59</v>
      </c>
      <c r="C41" s="144">
        <f t="shared" ref="C41:R41" si="16">+C55-C8</f>
        <v>1109.5176458920009</v>
      </c>
      <c r="D41" s="144">
        <f t="shared" si="16"/>
        <v>985.05743887199992</v>
      </c>
      <c r="E41" s="144">
        <f t="shared" si="16"/>
        <v>840.54529141900014</v>
      </c>
      <c r="F41" s="145">
        <f t="shared" si="16"/>
        <v>833.54948778900007</v>
      </c>
      <c r="G41" s="144">
        <f t="shared" si="16"/>
        <v>924.63417336600003</v>
      </c>
      <c r="H41" s="144">
        <f t="shared" si="16"/>
        <v>739.43431566400011</v>
      </c>
      <c r="I41" s="144">
        <f t="shared" si="16"/>
        <v>662.39110202800066</v>
      </c>
      <c r="J41" s="145">
        <f t="shared" si="16"/>
        <v>616.05215066000051</v>
      </c>
      <c r="K41" s="144">
        <f t="shared" si="16"/>
        <v>749.21393140900068</v>
      </c>
      <c r="L41" s="144">
        <f t="shared" si="16"/>
        <v>673.24812673400061</v>
      </c>
      <c r="M41" s="144">
        <f t="shared" si="16"/>
        <v>495.77166976500052</v>
      </c>
      <c r="N41" s="145">
        <f t="shared" si="16"/>
        <v>392.45954991100035</v>
      </c>
      <c r="O41" s="144">
        <f t="shared" si="16"/>
        <v>380.24321401599985</v>
      </c>
      <c r="P41" s="144">
        <f t="shared" si="16"/>
        <v>96.790631095999743</v>
      </c>
      <c r="Q41" s="144">
        <f t="shared" si="16"/>
        <v>2.1333291059995645</v>
      </c>
      <c r="R41" s="145">
        <f t="shared" si="16"/>
        <v>7.7298074609996092</v>
      </c>
      <c r="S41" s="144">
        <f>+S55-S8</f>
        <v>263.41789645100016</v>
      </c>
      <c r="T41" s="144"/>
      <c r="U41" s="144"/>
      <c r="V41" s="145"/>
      <c r="W41" s="144"/>
      <c r="X41" s="144"/>
    </row>
    <row r="42" spans="1:32">
      <c r="A42" s="149" t="s">
        <v>385</v>
      </c>
      <c r="B42" s="149" t="s">
        <v>22</v>
      </c>
      <c r="C42" s="146">
        <f t="shared" ref="C42:R42" si="17">+C7/C19*100</f>
        <v>169.24342300580747</v>
      </c>
      <c r="D42" s="146">
        <f t="shared" si="17"/>
        <v>196.98748259736973</v>
      </c>
      <c r="E42" s="146">
        <f t="shared" si="17"/>
        <v>196.17901713784499</v>
      </c>
      <c r="F42" s="147">
        <f t="shared" si="17"/>
        <v>198.99550212850531</v>
      </c>
      <c r="G42" s="146">
        <f t="shared" si="17"/>
        <v>187.92091361023247</v>
      </c>
      <c r="H42" s="146">
        <f t="shared" si="17"/>
        <v>172.66683829140891</v>
      </c>
      <c r="I42" s="146">
        <f t="shared" si="17"/>
        <v>174.8038935409075</v>
      </c>
      <c r="J42" s="147">
        <f t="shared" si="17"/>
        <v>182.94792530052649</v>
      </c>
      <c r="K42" s="146">
        <f t="shared" si="17"/>
        <v>169.22055458704085</v>
      </c>
      <c r="L42" s="146">
        <f t="shared" si="17"/>
        <v>173.53435999079349</v>
      </c>
      <c r="M42" s="146">
        <f t="shared" si="17"/>
        <v>186.68977722424395</v>
      </c>
      <c r="N42" s="147">
        <f t="shared" si="17"/>
        <v>169.37543195088435</v>
      </c>
      <c r="O42" s="146">
        <f t="shared" si="17"/>
        <v>184.45484887540272</v>
      </c>
      <c r="P42" s="146">
        <f t="shared" si="17"/>
        <v>207.43305799746534</v>
      </c>
      <c r="Q42" s="146">
        <f t="shared" si="17"/>
        <v>209.87716186320071</v>
      </c>
      <c r="R42" s="147">
        <f t="shared" si="17"/>
        <v>194.13661406303709</v>
      </c>
      <c r="S42" s="146">
        <f t="shared" ref="S42" si="18">+S7/S19*100</f>
        <v>183.73788488168404</v>
      </c>
      <c r="T42" s="146"/>
      <c r="U42" s="146"/>
      <c r="V42" s="147"/>
      <c r="W42" s="146"/>
      <c r="X42" s="57"/>
    </row>
    <row r="43" spans="1:32">
      <c r="A43" s="149" t="s">
        <v>386</v>
      </c>
      <c r="B43" s="433" t="s">
        <v>676</v>
      </c>
      <c r="C43" s="146">
        <f t="shared" ref="C43:R43" si="19">+C29/C38*100</f>
        <v>148.02291458996629</v>
      </c>
      <c r="D43" s="146">
        <f t="shared" si="19"/>
        <v>131.29287072940105</v>
      </c>
      <c r="E43" s="146">
        <f t="shared" si="19"/>
        <v>117.10173174036591</v>
      </c>
      <c r="F43" s="147">
        <f t="shared" si="19"/>
        <v>119.33972386896382</v>
      </c>
      <c r="G43" s="146">
        <f t="shared" si="19"/>
        <v>128.08267199205295</v>
      </c>
      <c r="H43" s="146">
        <f t="shared" si="19"/>
        <v>118.21229809032263</v>
      </c>
      <c r="I43" s="146">
        <f t="shared" si="19"/>
        <v>110.85653465248377</v>
      </c>
      <c r="J43" s="147">
        <f t="shared" si="19"/>
        <v>109.34853768572337</v>
      </c>
      <c r="K43" s="146">
        <f t="shared" si="19"/>
        <v>119.84493784018157</v>
      </c>
      <c r="L43" s="146">
        <f t="shared" si="19"/>
        <v>109.03976250326892</v>
      </c>
      <c r="M43" s="146">
        <f t="shared" si="19"/>
        <v>98.025771035275895</v>
      </c>
      <c r="N43" s="147">
        <f t="shared" si="19"/>
        <v>102.35745325436531</v>
      </c>
      <c r="O43" s="146">
        <f t="shared" si="19"/>
        <v>95.817750044010893</v>
      </c>
      <c r="P43" s="146">
        <f t="shared" si="19"/>
        <v>83.200297052676646</v>
      </c>
      <c r="Q43" s="146">
        <f t="shared" si="19"/>
        <v>82.184381476451733</v>
      </c>
      <c r="R43" s="147">
        <f t="shared" si="19"/>
        <v>85.947402132502802</v>
      </c>
      <c r="S43" s="146">
        <f t="shared" ref="S43" si="20">+S29/S38*100</f>
        <v>93.741829726337386</v>
      </c>
      <c r="T43" s="146"/>
      <c r="U43" s="146"/>
      <c r="V43" s="147"/>
      <c r="W43" s="146"/>
      <c r="X43" s="57"/>
    </row>
    <row r="44" spans="1:32">
      <c r="A44" s="149" t="s">
        <v>388</v>
      </c>
      <c r="B44" s="149" t="s">
        <v>369</v>
      </c>
      <c r="C44" s="146">
        <f t="shared" ref="C44:R44" si="21">+C8/C19*100</f>
        <v>15.995918809154382</v>
      </c>
      <c r="D44" s="146">
        <f t="shared" si="21"/>
        <v>19.84992215950582</v>
      </c>
      <c r="E44" s="146">
        <f t="shared" si="21"/>
        <v>19.990601155719485</v>
      </c>
      <c r="F44" s="147">
        <f t="shared" si="21"/>
        <v>22.162405701920605</v>
      </c>
      <c r="G44" s="146">
        <f t="shared" si="21"/>
        <v>24.243639411963237</v>
      </c>
      <c r="H44" s="146">
        <f t="shared" si="21"/>
        <v>21.271323076033468</v>
      </c>
      <c r="I44" s="146">
        <f t="shared" si="21"/>
        <v>31.401080825716427</v>
      </c>
      <c r="J44" s="147">
        <f t="shared" si="21"/>
        <v>26.751693884298859</v>
      </c>
      <c r="K44" s="146">
        <f t="shared" si="21"/>
        <v>32.6541615523453</v>
      </c>
      <c r="L44" s="146">
        <f t="shared" si="21"/>
        <v>38.05207894933455</v>
      </c>
      <c r="M44" s="146">
        <f t="shared" si="21"/>
        <v>42.83088451306886</v>
      </c>
      <c r="N44" s="147">
        <f t="shared" si="21"/>
        <v>47.279416437557693</v>
      </c>
      <c r="O44" s="146">
        <f t="shared" si="21"/>
        <v>46.465347020069018</v>
      </c>
      <c r="P44" s="146">
        <f t="shared" si="21"/>
        <v>63.767170198449229</v>
      </c>
      <c r="Q44" s="146">
        <f t="shared" si="21"/>
        <v>73.058765761527397</v>
      </c>
      <c r="R44" s="147">
        <f t="shared" si="21"/>
        <v>66.502864393175201</v>
      </c>
      <c r="S44" s="146">
        <f t="shared" ref="S44" si="22">+S8/S19*100</f>
        <v>48.783278591575367</v>
      </c>
      <c r="T44" s="146"/>
      <c r="U44" s="146"/>
      <c r="V44" s="147"/>
      <c r="W44" s="146"/>
      <c r="X44" s="57"/>
    </row>
    <row r="45" spans="1:32" ht="14.25" thickBot="1">
      <c r="A45" s="150" t="s">
        <v>392</v>
      </c>
      <c r="B45" s="150" t="s">
        <v>383</v>
      </c>
      <c r="C45" s="59"/>
      <c r="D45" s="59"/>
      <c r="E45" s="59"/>
      <c r="F45" s="60">
        <f>Data2_PL!G9/AVERAGE(Data1_BS!E61:F61)</f>
        <v>2.4568008972655053</v>
      </c>
      <c r="G45" s="59">
        <f>SUM(H66,F66,E66,D66)/AVERAGE(G10,C10)</f>
        <v>2.6253026335010605</v>
      </c>
      <c r="H45" s="59">
        <f>SUM(I66,H66,F66,E66)/AVERAGE(H10,D10)</f>
        <v>2.676750762190252</v>
      </c>
      <c r="I45" s="59">
        <f>SUM(J66,H66,I66,F66)/AVERAGE(I10,E10)</f>
        <v>2.6514535412799658</v>
      </c>
      <c r="J45" s="60">
        <f>+Data2_PL!L9/AVERAGE(Data1_BS!F10,Data1_BS!J10)</f>
        <v>2.5161832301472828</v>
      </c>
      <c r="K45" s="59">
        <f>SUM(M66,J66,I66,K66)/AVERAGE(K10,G10)</f>
        <v>2.5620094631972994</v>
      </c>
      <c r="L45" s="59">
        <f>SUM(N66,M66,J66,K66)/AVERAGE(L10,H10)</f>
        <v>2.2754361008565849</v>
      </c>
      <c r="M45" s="59">
        <f>SUM(N66,O66,M66,K66)/AVERAGE(M10,I10)</f>
        <v>2.3802734116959097</v>
      </c>
      <c r="N45" s="60">
        <f>+Data2_PL!Q9/AVERAGE(Data1_BS!J10,Data1_BS!N10)</f>
        <v>2.3451158932401244</v>
      </c>
      <c r="O45" s="59">
        <f>SUM(P66,R66,O66,N66)/AVERAGE(O10,K10)</f>
        <v>2.572885797131137</v>
      </c>
      <c r="P45" s="59">
        <f>SUM(R66,S66,P66,O66)/AVERAGE(P10,L10)</f>
        <v>2.9906461938424336</v>
      </c>
      <c r="Q45" s="59">
        <f>SUM(R66,T66,S66,P66)/AVERAGE(Q10,M10)</f>
        <v>3.0382566024665105</v>
      </c>
      <c r="R45" s="60">
        <f>+Data2_PL!V9/AVERAGE(Data1_BS!N10,Data1_BS!R10)</f>
        <v>2.7869226625659231</v>
      </c>
      <c r="S45" s="59">
        <f>SUM(T66,W66,S66,U66)/AVERAGE(S10,O10)</f>
        <v>2.7080249792800584</v>
      </c>
      <c r="T45" s="59"/>
      <c r="U45" s="59"/>
      <c r="V45" s="60"/>
      <c r="W45" s="59"/>
      <c r="X45" s="59"/>
    </row>
    <row r="46" spans="1:32">
      <c r="A46" s="169" t="s">
        <v>380</v>
      </c>
      <c r="B46" s="169" t="s">
        <v>519</v>
      </c>
      <c r="C46" s="13"/>
      <c r="D46" s="13"/>
      <c r="E46" s="13"/>
      <c r="F46" s="13"/>
      <c r="G46" s="13"/>
      <c r="H46" s="13"/>
      <c r="I46" s="13"/>
      <c r="J46" s="13"/>
      <c r="K46" s="13"/>
      <c r="L46" s="13"/>
      <c r="M46" s="13"/>
      <c r="N46" s="13"/>
      <c r="O46" s="13"/>
      <c r="P46" s="13"/>
      <c r="Q46" s="13"/>
      <c r="R46" s="13"/>
      <c r="S46" s="13"/>
      <c r="T46" s="13"/>
      <c r="U46" s="13"/>
      <c r="V46" s="13"/>
      <c r="W46" s="13"/>
      <c r="X46" s="13"/>
    </row>
    <row r="47" spans="1:32">
      <c r="A47" s="169"/>
      <c r="B47" s="169"/>
      <c r="C47" s="13"/>
      <c r="D47" s="13"/>
      <c r="E47" s="13"/>
      <c r="F47" s="13"/>
      <c r="G47" s="13"/>
      <c r="H47" s="13"/>
      <c r="I47" s="13"/>
      <c r="J47" s="13"/>
      <c r="K47" s="13"/>
      <c r="L47" s="13"/>
      <c r="M47" s="13"/>
      <c r="N47" s="13"/>
      <c r="O47" s="449"/>
      <c r="P47" s="449"/>
      <c r="Q47" s="449"/>
      <c r="R47" s="449"/>
      <c r="S47" s="13"/>
      <c r="T47" s="13"/>
      <c r="U47" s="13"/>
      <c r="V47" s="13"/>
      <c r="W47" s="13"/>
      <c r="X47" s="13"/>
    </row>
    <row r="48" spans="1:32">
      <c r="A48" s="186" t="s">
        <v>428</v>
      </c>
      <c r="B48" s="186" t="s">
        <v>428</v>
      </c>
      <c r="C48" s="13"/>
      <c r="D48" s="13"/>
      <c r="E48" s="13"/>
      <c r="F48" s="13"/>
      <c r="G48" s="13"/>
      <c r="H48" s="13"/>
      <c r="I48" s="13"/>
      <c r="J48" s="13"/>
      <c r="K48" s="13"/>
      <c r="L48" s="13"/>
      <c r="M48" s="13"/>
      <c r="N48" s="13"/>
      <c r="O48" s="450"/>
      <c r="P48" s="450"/>
      <c r="Q48" s="450"/>
      <c r="R48" s="450"/>
      <c r="S48" s="13"/>
      <c r="T48" s="13"/>
      <c r="U48" s="13"/>
      <c r="V48" s="13"/>
      <c r="W48" s="13"/>
      <c r="X48" s="13"/>
    </row>
    <row r="49" spans="1:24">
      <c r="A49" s="169" t="s">
        <v>680</v>
      </c>
      <c r="B49" s="169" t="s">
        <v>381</v>
      </c>
      <c r="C49" s="14"/>
      <c r="D49" s="14"/>
      <c r="E49" s="14"/>
      <c r="F49" s="14"/>
      <c r="G49" s="14"/>
      <c r="H49" s="14"/>
      <c r="I49" s="14"/>
      <c r="J49" s="14"/>
      <c r="K49" s="14"/>
      <c r="L49" s="14"/>
      <c r="M49" s="14"/>
      <c r="N49" s="14"/>
      <c r="O49" s="14"/>
      <c r="P49" s="14"/>
      <c r="Q49" s="14"/>
      <c r="R49" s="14"/>
      <c r="S49" s="14"/>
      <c r="T49" s="14"/>
      <c r="U49" s="14"/>
      <c r="V49" s="14"/>
      <c r="W49" s="14"/>
      <c r="X49" s="14"/>
    </row>
    <row r="50" spans="1:24">
      <c r="A50" s="170" t="s">
        <v>374</v>
      </c>
      <c r="B50" s="170" t="s">
        <v>678</v>
      </c>
      <c r="C50" s="3"/>
      <c r="D50" s="3"/>
      <c r="E50" s="3"/>
      <c r="F50" s="3"/>
      <c r="G50" s="3"/>
      <c r="H50" s="3"/>
      <c r="I50" s="3"/>
      <c r="J50" s="3"/>
      <c r="K50" s="3"/>
      <c r="L50" s="3"/>
      <c r="M50" s="3"/>
      <c r="N50" s="3"/>
      <c r="O50" s="3"/>
      <c r="P50" s="3"/>
      <c r="Q50" s="3"/>
      <c r="R50" s="3"/>
      <c r="S50" s="3"/>
      <c r="T50" s="3"/>
      <c r="U50" s="3"/>
      <c r="V50" s="3"/>
      <c r="W50" s="3"/>
      <c r="X50" s="3"/>
    </row>
    <row r="51" spans="1:24">
      <c r="A51" s="190" t="s">
        <v>376</v>
      </c>
      <c r="B51" s="190" t="s">
        <v>640</v>
      </c>
      <c r="C51" s="3"/>
      <c r="D51" s="3"/>
      <c r="E51" s="3"/>
      <c r="F51" s="3"/>
      <c r="G51" s="3"/>
      <c r="H51" s="3"/>
      <c r="I51" s="3"/>
      <c r="J51" s="3"/>
      <c r="K51" s="3"/>
      <c r="L51" s="3"/>
      <c r="M51" s="3"/>
      <c r="N51" s="3"/>
      <c r="O51" s="3"/>
      <c r="P51" s="3"/>
      <c r="Q51" s="3"/>
      <c r="R51" s="3"/>
      <c r="S51" s="3"/>
      <c r="T51" s="3"/>
      <c r="U51" s="3"/>
      <c r="V51" s="3"/>
      <c r="W51" s="3"/>
      <c r="X51" s="3"/>
    </row>
    <row r="52" spans="1:24" ht="14.25" thickBot="1">
      <c r="A52" s="150" t="s">
        <v>398</v>
      </c>
      <c r="B52" s="191" t="s">
        <v>390</v>
      </c>
      <c r="C52" s="3"/>
      <c r="D52" s="3"/>
      <c r="E52" s="3"/>
      <c r="F52" s="3"/>
      <c r="G52" s="3"/>
      <c r="H52" s="3"/>
      <c r="I52" s="3"/>
      <c r="J52" s="3"/>
      <c r="K52" s="3"/>
      <c r="L52" s="3"/>
      <c r="M52" s="3"/>
      <c r="N52" s="3"/>
      <c r="O52" s="3"/>
      <c r="P52" s="3"/>
      <c r="Q52" s="3"/>
      <c r="R52" s="3"/>
      <c r="S52" s="3"/>
      <c r="T52" s="3"/>
      <c r="U52" s="3"/>
      <c r="V52" s="3"/>
      <c r="W52" s="3"/>
      <c r="X52" s="3"/>
    </row>
    <row r="53" spans="1:24">
      <c r="A53" s="169"/>
      <c r="C53" s="1" t="b">
        <f t="shared" ref="C53:X53" si="23">+C39=C17</f>
        <v>1</v>
      </c>
      <c r="D53" s="1" t="b">
        <f t="shared" si="23"/>
        <v>1</v>
      </c>
      <c r="E53" s="1" t="b">
        <f t="shared" si="23"/>
        <v>1</v>
      </c>
      <c r="F53" s="1" t="b">
        <f t="shared" si="23"/>
        <v>1</v>
      </c>
      <c r="G53" s="1" t="b">
        <f>+G39=G17</f>
        <v>1</v>
      </c>
      <c r="H53" s="1" t="b">
        <f t="shared" si="23"/>
        <v>1</v>
      </c>
      <c r="I53" s="1" t="b">
        <f t="shared" si="23"/>
        <v>1</v>
      </c>
      <c r="J53" s="1" t="b">
        <f t="shared" si="23"/>
        <v>1</v>
      </c>
      <c r="K53" s="1" t="b">
        <f t="shared" si="23"/>
        <v>1</v>
      </c>
      <c r="L53" s="1" t="b">
        <f t="shared" si="23"/>
        <v>1</v>
      </c>
      <c r="M53" s="1" t="b">
        <f t="shared" si="23"/>
        <v>1</v>
      </c>
      <c r="N53" s="1" t="b">
        <f t="shared" si="23"/>
        <v>1</v>
      </c>
      <c r="O53" s="1" t="b">
        <f t="shared" si="23"/>
        <v>1</v>
      </c>
      <c r="P53" s="1" t="b">
        <f t="shared" si="23"/>
        <v>1</v>
      </c>
      <c r="Q53" s="1" t="b">
        <f t="shared" si="23"/>
        <v>1</v>
      </c>
      <c r="R53" s="1" t="b">
        <f t="shared" si="23"/>
        <v>1</v>
      </c>
      <c r="S53" s="1" t="b">
        <f t="shared" si="23"/>
        <v>1</v>
      </c>
      <c r="T53" s="1" t="b">
        <f t="shared" si="23"/>
        <v>1</v>
      </c>
      <c r="U53" s="1" t="b">
        <f t="shared" si="23"/>
        <v>1</v>
      </c>
      <c r="V53" s="1" t="b">
        <f t="shared" si="23"/>
        <v>1</v>
      </c>
      <c r="W53" s="1" t="b">
        <f t="shared" si="23"/>
        <v>1</v>
      </c>
      <c r="X53" s="1" t="b">
        <f t="shared" si="23"/>
        <v>1</v>
      </c>
    </row>
    <row r="54" spans="1:24" ht="14.25" thickBot="1"/>
    <row r="55" spans="1:24">
      <c r="A55" s="148" t="s">
        <v>60</v>
      </c>
      <c r="B55" s="148" t="s">
        <v>21</v>
      </c>
      <c r="C55" s="142">
        <f t="shared" ref="C55:R55" si="24">+C21+C24</f>
        <v>1233.1180337720011</v>
      </c>
      <c r="D55" s="142">
        <f t="shared" si="24"/>
        <v>1121.6172968430001</v>
      </c>
      <c r="E55" s="142">
        <f t="shared" si="24"/>
        <v>971.66568021200021</v>
      </c>
      <c r="F55" s="143">
        <f t="shared" si="24"/>
        <v>982.55081252000014</v>
      </c>
      <c r="G55" s="142">
        <f t="shared" si="24"/>
        <v>1125.3916430200002</v>
      </c>
      <c r="H55" s="142">
        <f t="shared" si="24"/>
        <v>935.29556623400026</v>
      </c>
      <c r="I55" s="142">
        <f t="shared" si="24"/>
        <v>972.45006003700087</v>
      </c>
      <c r="J55" s="143">
        <f t="shared" si="24"/>
        <v>848.08457504800072</v>
      </c>
      <c r="K55" s="142">
        <f t="shared" si="24"/>
        <v>1103.4894415290009</v>
      </c>
      <c r="L55" s="142">
        <f t="shared" si="24"/>
        <v>1048.477478965001</v>
      </c>
      <c r="M55" s="142">
        <f t="shared" si="24"/>
        <v>886.76223020000089</v>
      </c>
      <c r="N55" s="143">
        <f t="shared" si="24"/>
        <v>863.10710243600079</v>
      </c>
      <c r="O55" s="142">
        <f t="shared" si="24"/>
        <v>847.41228909000029</v>
      </c>
      <c r="P55" s="142">
        <f t="shared" si="24"/>
        <v>690.28938255100024</v>
      </c>
      <c r="Q55" s="142">
        <f t="shared" si="24"/>
        <v>728.47968089300025</v>
      </c>
      <c r="R55" s="143">
        <f t="shared" si="24"/>
        <v>706.93339824400027</v>
      </c>
      <c r="S55" s="142">
        <f t="shared" ref="S55" si="25">+S21+S24</f>
        <v>872.38374382100073</v>
      </c>
      <c r="T55" s="142"/>
      <c r="U55" s="142"/>
      <c r="V55" s="143"/>
      <c r="W55" s="142"/>
      <c r="X55" s="142"/>
    </row>
    <row r="56" spans="1:24">
      <c r="A56" s="149" t="s">
        <v>387</v>
      </c>
      <c r="B56" s="149" t="s">
        <v>677</v>
      </c>
      <c r="C56" s="146">
        <f t="shared" ref="C56:R56" si="26">C41/C38*100</f>
        <v>85.25582639487034</v>
      </c>
      <c r="D56" s="146">
        <f t="shared" si="26"/>
        <v>67.511590463303421</v>
      </c>
      <c r="E56" s="146">
        <f t="shared" si="26"/>
        <v>56.495894077697017</v>
      </c>
      <c r="F56" s="147">
        <f t="shared" si="26"/>
        <v>55.330426560660243</v>
      </c>
      <c r="G56" s="146">
        <f t="shared" si="26"/>
        <v>57.566461815339473</v>
      </c>
      <c r="H56" s="146">
        <f t="shared" si="26"/>
        <v>43.087709736522015</v>
      </c>
      <c r="I56" s="146">
        <f t="shared" si="26"/>
        <v>35.365805969685525</v>
      </c>
      <c r="J56" s="147">
        <f t="shared" si="26"/>
        <v>34.207186974793039</v>
      </c>
      <c r="K56" s="146">
        <f t="shared" si="26"/>
        <v>39.963407006281045</v>
      </c>
      <c r="L56" s="146">
        <f t="shared" si="26"/>
        <v>35.458713755434225</v>
      </c>
      <c r="M56" s="146">
        <f t="shared" si="26"/>
        <v>25.166164874088736</v>
      </c>
      <c r="N56" s="147">
        <f t="shared" si="26"/>
        <v>21.130332967344064</v>
      </c>
      <c r="O56" s="146">
        <f t="shared" si="26"/>
        <v>18.630098941875843</v>
      </c>
      <c r="P56" s="146">
        <f t="shared" si="26"/>
        <v>4.3633461419270736</v>
      </c>
      <c r="Q56" s="146">
        <f t="shared" si="26"/>
        <v>9.0077109534699648E-2</v>
      </c>
      <c r="R56" s="147">
        <f t="shared" si="26"/>
        <v>0.33513303852709025</v>
      </c>
      <c r="S56" s="146">
        <f t="shared" ref="S56" si="27">S41/S38*100</f>
        <v>11.13479839261964</v>
      </c>
      <c r="T56" s="146"/>
      <c r="U56" s="146"/>
      <c r="V56" s="147"/>
      <c r="W56" s="146"/>
      <c r="X56" s="57"/>
    </row>
    <row r="57" spans="1:24">
      <c r="A57" s="149" t="s">
        <v>384</v>
      </c>
      <c r="B57" s="149" t="s">
        <v>391</v>
      </c>
      <c r="C57" s="57"/>
      <c r="D57" s="57"/>
      <c r="E57" s="57"/>
      <c r="F57" s="379">
        <f t="shared" ref="F57:R57" si="28">365/F45</f>
        <v>148.56718768145038</v>
      </c>
      <c r="G57" s="380">
        <f t="shared" si="28"/>
        <v>139.0315902411761</v>
      </c>
      <c r="H57" s="380">
        <f t="shared" si="28"/>
        <v>136.35935222498588</v>
      </c>
      <c r="I57" s="380">
        <f t="shared" si="28"/>
        <v>137.66034151358332</v>
      </c>
      <c r="J57" s="379">
        <f t="shared" si="28"/>
        <v>145.0609779235493</v>
      </c>
      <c r="K57" s="380">
        <f t="shared" si="28"/>
        <v>142.46629657038525</v>
      </c>
      <c r="L57" s="380">
        <f t="shared" si="28"/>
        <v>160.40881124396165</v>
      </c>
      <c r="M57" s="380">
        <f t="shared" si="28"/>
        <v>153.34372858450024</v>
      </c>
      <c r="N57" s="379">
        <f t="shared" si="28"/>
        <v>155.64262774906982</v>
      </c>
      <c r="O57" s="380">
        <f t="shared" si="28"/>
        <v>141.86405024544368</v>
      </c>
      <c r="P57" s="380">
        <f t="shared" si="28"/>
        <v>122.04720195639115</v>
      </c>
      <c r="Q57" s="380">
        <f t="shared" si="28"/>
        <v>120.13468503736206</v>
      </c>
      <c r="R57" s="379">
        <f t="shared" si="28"/>
        <v>130.96882985046454</v>
      </c>
      <c r="S57" s="57">
        <f>365/S45</f>
        <v>134.78457650602508</v>
      </c>
      <c r="T57" s="57"/>
      <c r="U57" s="57"/>
      <c r="V57" s="58"/>
      <c r="W57" s="57"/>
      <c r="X57" s="57"/>
    </row>
    <row r="58" spans="1:24">
      <c r="A58" s="190" t="s">
        <v>375</v>
      </c>
      <c r="B58" s="190" t="s">
        <v>679</v>
      </c>
      <c r="C58" s="3"/>
      <c r="D58" s="3"/>
      <c r="E58" s="3"/>
      <c r="F58" s="3"/>
      <c r="G58" s="3"/>
      <c r="H58" s="3"/>
      <c r="I58" s="3"/>
      <c r="J58" s="3"/>
      <c r="K58" s="3"/>
      <c r="L58" s="3"/>
      <c r="M58" s="3"/>
      <c r="N58" s="3"/>
      <c r="O58" s="3"/>
      <c r="P58" s="3"/>
      <c r="Q58" s="3"/>
      <c r="R58" s="3"/>
      <c r="S58" s="3"/>
      <c r="T58" s="3"/>
      <c r="U58" s="3"/>
      <c r="V58" s="3"/>
      <c r="W58" s="3"/>
      <c r="X58" s="3"/>
    </row>
    <row r="59" spans="1:24">
      <c r="A59" s="149" t="s">
        <v>397</v>
      </c>
      <c r="B59" s="190" t="s">
        <v>389</v>
      </c>
      <c r="C59" s="3"/>
      <c r="D59" s="3"/>
      <c r="E59" s="3"/>
      <c r="F59" s="3"/>
      <c r="G59" s="3"/>
      <c r="H59" s="3"/>
      <c r="I59" s="3"/>
      <c r="J59" s="3"/>
      <c r="K59" s="3"/>
      <c r="L59" s="3"/>
      <c r="M59" s="3"/>
      <c r="N59" s="3"/>
      <c r="O59" s="3"/>
      <c r="P59" s="3"/>
      <c r="Q59" s="3"/>
      <c r="R59" s="3"/>
      <c r="S59" s="3"/>
      <c r="T59" s="3"/>
      <c r="U59" s="3"/>
      <c r="V59" s="3"/>
      <c r="W59" s="3"/>
      <c r="X59" s="3"/>
    </row>
    <row r="60" spans="1:24">
      <c r="C60" s="32"/>
      <c r="E60" s="1">
        <v>2017</v>
      </c>
      <c r="G60" s="32"/>
      <c r="K60" s="32"/>
      <c r="O60" s="32"/>
      <c r="S60" s="32"/>
      <c r="W60" s="32"/>
    </row>
    <row r="61" spans="1:24">
      <c r="D61" s="217" t="s">
        <v>412</v>
      </c>
      <c r="E61" s="192">
        <f>578366696630/10^9</f>
        <v>578.36669662999998</v>
      </c>
      <c r="F61" s="192">
        <f>+F10</f>
        <v>632.23688981300052</v>
      </c>
    </row>
    <row r="62" spans="1:24">
      <c r="D62" s="217" t="s">
        <v>413</v>
      </c>
      <c r="E62" s="216">
        <f>3078924218139/10^9</f>
        <v>3078.924218139</v>
      </c>
    </row>
    <row r="63" spans="1:24">
      <c r="D63" s="217" t="s">
        <v>414</v>
      </c>
      <c r="E63" s="216">
        <f>1234329957298/10^9</f>
        <v>1234.329957298</v>
      </c>
    </row>
    <row r="65" spans="2:23">
      <c r="C65" s="1" t="str">
        <f>+Data2_PL!C7</f>
        <v>Q1 18</v>
      </c>
      <c r="D65" s="1" t="str">
        <f>+Data2_PL!D7</f>
        <v>Q2 18</v>
      </c>
      <c r="E65" s="1" t="str">
        <f>+Data2_PL!E7</f>
        <v>Q3 18</v>
      </c>
      <c r="F65" s="1" t="str">
        <f>+Data2_PL!F7</f>
        <v>Q4 18</v>
      </c>
      <c r="G65" s="415" t="str">
        <f>+Data2_PL!G7</f>
        <v>FY18</v>
      </c>
      <c r="H65" s="1" t="str">
        <f>+Data2_PL!H7</f>
        <v>Q1 19</v>
      </c>
      <c r="I65" s="1" t="str">
        <f>+Data2_PL!I7</f>
        <v>Q2 19</v>
      </c>
      <c r="J65" s="1" t="str">
        <f>+Data2_PL!J7</f>
        <v>Q3 19</v>
      </c>
      <c r="K65" s="1" t="str">
        <f>+Data2_PL!K7</f>
        <v>Q4 19</v>
      </c>
      <c r="L65" s="415" t="str">
        <f>+Data2_PL!L7</f>
        <v>FY19</v>
      </c>
      <c r="M65" s="1" t="str">
        <f>+Data2_PL!M7</f>
        <v>Q1 20</v>
      </c>
      <c r="N65" s="1" t="str">
        <f>+Data2_PL!N7</f>
        <v>Q2 20</v>
      </c>
      <c r="O65" s="1" t="str">
        <f>+Data2_PL!O7</f>
        <v>Q3 20</v>
      </c>
      <c r="P65" s="1" t="str">
        <f>+Data2_PL!P7</f>
        <v>Q4 20</v>
      </c>
      <c r="Q65" s="415" t="str">
        <f>+Data2_PL!Q7</f>
        <v>FY20</v>
      </c>
      <c r="R65" s="1" t="str">
        <f>+Data2_PL!R7</f>
        <v>Q1 21</v>
      </c>
      <c r="S65" s="1" t="str">
        <f>+Data2_PL!S7</f>
        <v>Q2 21</v>
      </c>
      <c r="T65" s="1" t="str">
        <f>+Data2_PL!T7</f>
        <v>Q3 21</v>
      </c>
      <c r="U65" s="1" t="str">
        <f>+Data2_PL!U7</f>
        <v>Q4 21</v>
      </c>
      <c r="V65" s="415" t="str">
        <f>+Data2_PL!V7</f>
        <v>FY21</v>
      </c>
      <c r="W65" s="1" t="str">
        <f>+Data2_PL!W7</f>
        <v>Q1 22</v>
      </c>
    </row>
    <row r="66" spans="2:23">
      <c r="B66" s="170" t="s">
        <v>645</v>
      </c>
      <c r="C66" s="216">
        <f>+Data2_PL!C9</f>
        <v>334.91918243000032</v>
      </c>
      <c r="D66" s="216">
        <f>+Data2_PL!D9</f>
        <v>385.87628537300037</v>
      </c>
      <c r="E66" s="216">
        <f>+Data2_PL!E9</f>
        <v>372.01709009800032</v>
      </c>
      <c r="F66" s="216">
        <f>+Data2_PL!F9</f>
        <v>394.2934308020001</v>
      </c>
      <c r="G66" s="408">
        <f>+Data2_PL!G9</f>
        <v>1487.1059887030012</v>
      </c>
      <c r="H66" s="216">
        <f>+Data2_PL!H9</f>
        <v>416.85733287100038</v>
      </c>
      <c r="I66" s="216">
        <f>+Data2_PL!I9</f>
        <v>459.3051649830004</v>
      </c>
      <c r="J66" s="216">
        <f>+Data2_PL!J9</f>
        <v>449.61160411500038</v>
      </c>
      <c r="K66" s="216">
        <f>+Data2_PL!K9</f>
        <v>394.94038571100049</v>
      </c>
      <c r="L66" s="408">
        <f>+Data2_PL!L9</f>
        <v>1720.7144876800016</v>
      </c>
      <c r="M66" s="216">
        <f>+Data2_PL!M9</f>
        <v>408.20173110000036</v>
      </c>
      <c r="N66" s="216">
        <f>+Data2_PL!N9</f>
        <v>298.44193340500027</v>
      </c>
      <c r="O66" s="216">
        <f>+Data2_PL!O9</f>
        <v>471.10748996800044</v>
      </c>
      <c r="P66" s="216">
        <f>+Data2_PL!P9</f>
        <v>406.41329992700048</v>
      </c>
      <c r="Q66" s="408">
        <f>+Data2_PL!Q9</f>
        <v>1584.1644544000014</v>
      </c>
      <c r="R66" s="216">
        <f>+Data2_PL!R9</f>
        <v>489.74006054500046</v>
      </c>
      <c r="S66" s="216">
        <f>+Data2_PL!S9</f>
        <v>496.92735649200046</v>
      </c>
      <c r="T66" s="216">
        <f>+Data2_PL!T9</f>
        <v>473.90036575300041</v>
      </c>
      <c r="U66" s="216">
        <f>+Data2_PL!U9</f>
        <v>453.14084591400047</v>
      </c>
      <c r="V66" s="408">
        <f>+Data2_PL!V9</f>
        <v>1913.7086287040017</v>
      </c>
      <c r="W66" s="216">
        <f>+Data2_PL!W9</f>
        <v>543.62163109900052</v>
      </c>
    </row>
    <row r="69" spans="2:23">
      <c r="O69" s="216"/>
      <c r="P69" s="216"/>
      <c r="Q69" s="216"/>
      <c r="R69" s="216"/>
    </row>
    <row r="70" spans="2:23">
      <c r="O70" s="216"/>
      <c r="P70" s="216"/>
      <c r="Q70" s="216"/>
      <c r="R70" s="216"/>
    </row>
    <row r="71" spans="2:23">
      <c r="O71" s="216"/>
      <c r="P71" s="216"/>
      <c r="Q71" s="216"/>
      <c r="R71" s="216"/>
    </row>
    <row r="72" spans="2:23">
      <c r="O72" s="216"/>
      <c r="P72" s="216"/>
      <c r="Q72" s="216"/>
      <c r="R72" s="216"/>
    </row>
    <row r="73" spans="2:23">
      <c r="O73" s="216"/>
      <c r="P73" s="216"/>
      <c r="Q73" s="216"/>
      <c r="R73" s="216"/>
    </row>
    <row r="74" spans="2:23">
      <c r="O74" s="216"/>
      <c r="P74" s="216"/>
      <c r="Q74" s="216"/>
      <c r="R74" s="216"/>
    </row>
    <row r="75" spans="2:23">
      <c r="O75" s="216"/>
      <c r="P75" s="216"/>
      <c r="Q75" s="216"/>
      <c r="R75" s="216"/>
    </row>
    <row r="76" spans="2:23">
      <c r="O76" s="216"/>
      <c r="P76" s="216"/>
      <c r="Q76" s="216"/>
      <c r="R76" s="216"/>
    </row>
    <row r="77" spans="2:23">
      <c r="O77" s="216"/>
      <c r="P77" s="216"/>
      <c r="Q77" s="216"/>
      <c r="R77" s="216"/>
    </row>
    <row r="78" spans="2:23">
      <c r="O78" s="216"/>
      <c r="P78" s="216"/>
      <c r="Q78" s="216"/>
      <c r="R78" s="216"/>
    </row>
    <row r="79" spans="2:23">
      <c r="O79" s="216"/>
      <c r="P79" s="216"/>
      <c r="Q79" s="216"/>
      <c r="R79" s="216"/>
    </row>
    <row r="80" spans="2:23">
      <c r="O80" s="216"/>
      <c r="P80" s="216"/>
      <c r="Q80" s="216"/>
      <c r="R80" s="216"/>
    </row>
    <row r="81" spans="15:18">
      <c r="O81" s="216"/>
      <c r="P81" s="216"/>
      <c r="Q81" s="216"/>
      <c r="R81" s="216"/>
    </row>
    <row r="82" spans="15:18">
      <c r="O82" s="216"/>
      <c r="P82" s="216"/>
      <c r="Q82" s="216"/>
      <c r="R82" s="216"/>
    </row>
    <row r="83" spans="15:18">
      <c r="O83" s="216"/>
      <c r="P83" s="216"/>
      <c r="Q83" s="216"/>
      <c r="R83" s="216"/>
    </row>
    <row r="84" spans="15:18">
      <c r="O84" s="216"/>
      <c r="P84" s="216"/>
      <c r="Q84" s="216"/>
      <c r="R84" s="216"/>
    </row>
  </sheetData>
  <phoneticPr fontId="3" type="noConversion"/>
  <pageMargins left="0.25" right="0.25" top="0.75" bottom="0.75" header="0.3" footer="0.3"/>
  <pageSetup paperSize="9" orientation="portrait" r:id="rId1"/>
  <ignoredErrors>
    <ignoredError sqref="C11:O23 C26:O39 C25:N25 P9:P13 D41:O41 Q11 Q16 Q18 Q22 Q28 Q30 Q9 P15:P23 P26:P35 C24 I24:N2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T74"/>
  <sheetViews>
    <sheetView zoomScaleNormal="100" zoomScaleSheetLayoutView="115" workbookViewId="0">
      <pane xSplit="2" ySplit="7" topLeftCell="C29" activePane="bottomRight" state="frozen"/>
      <selection activeCell="V50" sqref="V50"/>
      <selection pane="topRight" activeCell="V50" sqref="V50"/>
      <selection pane="bottomLeft" activeCell="V50" sqref="V50"/>
      <selection pane="bottomRight" activeCell="W35" sqref="C35:W35"/>
    </sheetView>
  </sheetViews>
  <sheetFormatPr defaultRowHeight="16.5"/>
  <cols>
    <col min="1" max="1" width="26.875" style="193" customWidth="1"/>
    <col min="2" max="2" width="33.625" style="193" customWidth="1"/>
    <col min="3" max="9" width="5.5" style="1" customWidth="1"/>
    <col min="10" max="22" width="5.625" style="1" customWidth="1"/>
    <col min="23" max="23" width="7.625" style="1" bestFit="1" customWidth="1"/>
    <col min="24" max="27" width="5.625" style="1" customWidth="1"/>
    <col min="28" max="28" width="9" style="1"/>
    <col min="29" max="29" width="26.25" style="1" bestFit="1" customWidth="1"/>
    <col min="30" max="30" width="16.75" style="1" bestFit="1" customWidth="1"/>
    <col min="31" max="31" width="16.75" style="1" customWidth="1"/>
    <col min="32" max="32" width="9" style="1" customWidth="1"/>
    <col min="33" max="34" width="6.375" style="1" bestFit="1" customWidth="1"/>
    <col min="35" max="36" width="5.875" style="1" bestFit="1" customWidth="1"/>
    <col min="37" max="37" width="0" style="1" hidden="1" customWidth="1"/>
    <col min="38" max="41" width="5.875" style="1" bestFit="1" customWidth="1"/>
    <col min="42" max="42" width="0" style="1" hidden="1" customWidth="1"/>
    <col min="43" max="46" width="4.875" style="1" bestFit="1" customWidth="1"/>
    <col min="47" max="16384" width="9" style="1"/>
  </cols>
  <sheetData>
    <row r="1" spans="1:46" ht="20.25">
      <c r="A1" s="174" t="s">
        <v>86</v>
      </c>
      <c r="B1" s="174"/>
      <c r="C1" s="3"/>
      <c r="D1" s="3"/>
      <c r="E1" s="3"/>
      <c r="F1" s="3"/>
      <c r="G1" s="3"/>
      <c r="H1" s="3"/>
      <c r="I1" s="3"/>
      <c r="J1" s="3"/>
      <c r="K1" s="3"/>
      <c r="L1" s="3"/>
      <c r="M1" s="3"/>
      <c r="N1" s="3"/>
      <c r="O1" s="3"/>
      <c r="P1" s="3"/>
      <c r="Q1" s="3"/>
      <c r="R1" s="3"/>
      <c r="S1" s="3"/>
      <c r="T1" s="3"/>
      <c r="U1" s="3"/>
      <c r="V1" s="3"/>
      <c r="W1" s="3"/>
      <c r="X1" s="3"/>
      <c r="Y1" s="3"/>
      <c r="Z1" s="3"/>
      <c r="AA1" s="3"/>
    </row>
    <row r="2" spans="1:46" ht="16.5" customHeight="1">
      <c r="A2" s="175" t="s">
        <v>67</v>
      </c>
      <c r="B2" s="175"/>
      <c r="C2" s="3"/>
      <c r="D2" s="3"/>
      <c r="E2" s="3"/>
      <c r="F2" s="3"/>
      <c r="G2" s="3"/>
      <c r="H2" s="3"/>
      <c r="I2" s="3"/>
      <c r="J2" s="3"/>
      <c r="K2" s="3"/>
      <c r="L2" s="3"/>
      <c r="M2" s="3"/>
      <c r="N2" s="3"/>
      <c r="O2" s="3"/>
      <c r="P2" s="3"/>
      <c r="Q2" s="3"/>
      <c r="R2" s="3"/>
      <c r="S2" s="3"/>
      <c r="T2" s="3"/>
      <c r="U2" s="3"/>
      <c r="V2" s="3"/>
      <c r="W2" s="3"/>
      <c r="X2" s="3"/>
      <c r="Y2" s="3"/>
      <c r="Z2" s="3"/>
      <c r="AA2" s="3"/>
    </row>
    <row r="3" spans="1:46" ht="12.75">
      <c r="A3" s="175" t="s">
        <v>68</v>
      </c>
      <c r="B3" s="175"/>
      <c r="C3" s="3"/>
      <c r="D3" s="3"/>
      <c r="E3" s="3"/>
      <c r="F3" s="3"/>
      <c r="G3" s="3"/>
      <c r="H3" s="3"/>
      <c r="I3" s="3"/>
      <c r="J3" s="3"/>
      <c r="K3" s="3"/>
      <c r="L3" s="3"/>
      <c r="M3" s="3"/>
      <c r="N3" s="3"/>
      <c r="O3" s="3"/>
      <c r="P3" s="3"/>
      <c r="Q3" s="3"/>
      <c r="R3" s="3"/>
      <c r="S3" s="3"/>
      <c r="T3" s="3"/>
      <c r="U3" s="3"/>
      <c r="V3" s="3"/>
      <c r="W3" s="3"/>
      <c r="X3" s="3"/>
      <c r="Y3" s="3"/>
      <c r="Z3" s="3"/>
      <c r="AA3" s="3"/>
    </row>
    <row r="4" spans="1:46" ht="17.25">
      <c r="A4" s="194" t="s">
        <v>69</v>
      </c>
      <c r="B4" s="194"/>
      <c r="C4" s="3"/>
      <c r="D4" s="3"/>
      <c r="E4" s="3"/>
      <c r="F4" s="3"/>
      <c r="G4" s="3"/>
      <c r="H4" s="3"/>
      <c r="I4" s="3"/>
      <c r="J4" s="3"/>
      <c r="K4" s="3"/>
      <c r="L4" s="3"/>
      <c r="M4" s="3"/>
      <c r="N4" s="3"/>
      <c r="O4" s="3"/>
      <c r="P4" s="3"/>
      <c r="Q4" s="3"/>
      <c r="R4" s="3"/>
      <c r="S4" s="3"/>
      <c r="T4" s="3"/>
      <c r="U4" s="3"/>
      <c r="V4" s="3"/>
      <c r="W4" s="3"/>
      <c r="X4" s="3"/>
      <c r="Y4" s="3"/>
      <c r="Z4" s="3"/>
      <c r="AA4" s="3"/>
    </row>
    <row r="5" spans="1:46" s="38" customFormat="1" ht="13.5" customHeight="1">
      <c r="A5" s="195"/>
      <c r="B5" s="195"/>
      <c r="C5" s="36"/>
      <c r="D5" s="36"/>
      <c r="E5" s="36"/>
      <c r="F5" s="36"/>
      <c r="G5" s="37"/>
      <c r="H5" s="36"/>
      <c r="I5" s="36"/>
      <c r="J5" s="36"/>
      <c r="K5" s="36"/>
      <c r="L5" s="37"/>
      <c r="M5" s="36"/>
      <c r="N5" s="36"/>
      <c r="O5" s="36"/>
      <c r="P5" s="36"/>
      <c r="Q5" s="37"/>
      <c r="R5" s="36"/>
      <c r="S5" s="36"/>
      <c r="T5" s="36"/>
      <c r="U5" s="36"/>
      <c r="V5" s="37"/>
      <c r="W5" s="36"/>
      <c r="X5" s="36"/>
      <c r="Y5" s="36"/>
      <c r="Z5" s="36"/>
      <c r="AA5" s="37"/>
    </row>
    <row r="6" spans="1:46" s="41" customFormat="1" ht="13.5" customHeight="1">
      <c r="A6" s="196"/>
      <c r="B6" s="196"/>
      <c r="C6" s="39"/>
      <c r="D6" s="39"/>
      <c r="E6" s="39"/>
      <c r="F6" s="39"/>
      <c r="G6" s="40"/>
      <c r="H6" s="39"/>
      <c r="I6" s="39"/>
      <c r="J6" s="39"/>
      <c r="K6" s="39"/>
      <c r="L6" s="40"/>
      <c r="M6" s="39"/>
      <c r="N6" s="39"/>
      <c r="O6" s="39"/>
      <c r="P6" s="39"/>
      <c r="Q6" s="40"/>
      <c r="R6" s="39"/>
      <c r="S6" s="39"/>
      <c r="T6" s="39"/>
      <c r="U6" s="39"/>
      <c r="V6" s="40"/>
      <c r="W6" s="39"/>
      <c r="X6" s="39"/>
      <c r="Y6" s="39"/>
      <c r="Z6" s="39"/>
      <c r="AA6" s="40"/>
    </row>
    <row r="7" spans="1:46" s="41" customFormat="1" ht="12.75">
      <c r="A7" s="197" t="s">
        <v>377</v>
      </c>
      <c r="B7" s="198" t="s">
        <v>1</v>
      </c>
      <c r="C7" s="42" t="s">
        <v>70</v>
      </c>
      <c r="D7" s="42" t="s">
        <v>23</v>
      </c>
      <c r="E7" s="42" t="s">
        <v>71</v>
      </c>
      <c r="F7" s="42" t="s">
        <v>418</v>
      </c>
      <c r="G7" s="43" t="s">
        <v>703</v>
      </c>
      <c r="H7" s="42" t="s">
        <v>81</v>
      </c>
      <c r="I7" s="42" t="s">
        <v>63</v>
      </c>
      <c r="J7" s="42" t="s">
        <v>64</v>
      </c>
      <c r="K7" s="42" t="s">
        <v>82</v>
      </c>
      <c r="L7" s="43" t="s">
        <v>702</v>
      </c>
      <c r="M7" s="42" t="s">
        <v>83</v>
      </c>
      <c r="N7" s="42" t="s">
        <v>27</v>
      </c>
      <c r="O7" s="42" t="s">
        <v>84</v>
      </c>
      <c r="P7" s="42" t="s">
        <v>29</v>
      </c>
      <c r="Q7" s="43" t="s">
        <v>704</v>
      </c>
      <c r="R7" s="42" t="s">
        <v>87</v>
      </c>
      <c r="S7" s="42" t="s">
        <v>88</v>
      </c>
      <c r="T7" s="42" t="s">
        <v>89</v>
      </c>
      <c r="U7" s="42" t="s">
        <v>395</v>
      </c>
      <c r="V7" s="43" t="s">
        <v>705</v>
      </c>
      <c r="W7" s="42" t="s">
        <v>91</v>
      </c>
      <c r="X7" s="42" t="s">
        <v>92</v>
      </c>
      <c r="Y7" s="42" t="s">
        <v>93</v>
      </c>
      <c r="Z7" s="42" t="s">
        <v>94</v>
      </c>
      <c r="AA7" s="43" t="s">
        <v>117</v>
      </c>
      <c r="AG7" s="41">
        <v>18</v>
      </c>
      <c r="AH7" s="41">
        <v>19</v>
      </c>
      <c r="AI7" s="41">
        <v>20</v>
      </c>
      <c r="AJ7" s="41">
        <v>21</v>
      </c>
      <c r="AL7" s="41">
        <v>18</v>
      </c>
      <c r="AM7" s="41">
        <v>19</v>
      </c>
      <c r="AN7" s="41">
        <v>20</v>
      </c>
      <c r="AO7" s="41">
        <v>21</v>
      </c>
    </row>
    <row r="8" spans="1:46" s="46" customFormat="1" ht="18" customHeight="1">
      <c r="A8" s="44" t="s">
        <v>366</v>
      </c>
      <c r="B8" s="44" t="s">
        <v>0</v>
      </c>
      <c r="C8" s="199">
        <f>VLOOKUP($AC8,'1Q19'!$A:$E,4,FALSE)*0.1^9</f>
        <v>676.91710744300065</v>
      </c>
      <c r="D8" s="200">
        <f>VLOOKUP($AC8,'2Q19'!$A:$E,4,FALSE)*0.1^9</f>
        <v>790.1696572700007</v>
      </c>
      <c r="E8" s="200">
        <f>VLOOKUP($AC8,'3Q19'!$A:$E,4,FALSE)*0.1^9</f>
        <v>725.87779588900059</v>
      </c>
      <c r="F8" s="200">
        <f>G8-SUM(C8:E8)</f>
        <v>761.67797983800074</v>
      </c>
      <c r="G8" s="201">
        <f>VLOOKUP($AC8,'4Q19'!$A:$C,3,FALSE)*0.1^9</f>
        <v>2954.6425404400024</v>
      </c>
      <c r="H8" s="200">
        <f>VLOOKUP($AC8,'1Q19'!$A:$E,2,FALSE)*0.1^9</f>
        <v>834.57623564400069</v>
      </c>
      <c r="I8" s="200">
        <f>VLOOKUP($AC8,'2Q19'!$A:$E,2,FALSE)*0.1^9</f>
        <v>959.30264724200083</v>
      </c>
      <c r="J8" s="200">
        <f>VLOOKUP($AC8,'3Q19'!$A:$E,2,FALSE)*0.1^9</f>
        <v>866.98594883500073</v>
      </c>
      <c r="K8" s="200">
        <f>L8-H8-I8-J8</f>
        <v>789.55669821500055</v>
      </c>
      <c r="L8" s="201">
        <f>VLOOKUP($AC8,'4Q19'!$A:$C,2,FALSE)*0.1^9</f>
        <v>3450.421529936003</v>
      </c>
      <c r="M8" s="200">
        <f>VLOOKUP("매출",'1Q20'!$A:$E,2,FALSE)*0.1^9</f>
        <v>789.90093589200069</v>
      </c>
      <c r="N8" s="202">
        <f>VLOOKUP("매출",'2Q20'!$A:$E,2,FALSE)*0.1^9</f>
        <v>625.01127687200051</v>
      </c>
      <c r="O8" s="200">
        <f>VLOOKUP("매출",'3Q20'!$A:$E,2,FALSE)*0.1^9</f>
        <v>917.43127043200082</v>
      </c>
      <c r="P8" s="200">
        <f>Q8-SUM(M8:O8)</f>
        <v>796.46236960100077</v>
      </c>
      <c r="Q8" s="201">
        <f>VLOOKUP("매출",'4Q20'!$A:$C,2,FALSE)*0.1^9</f>
        <v>3128.8058527970029</v>
      </c>
      <c r="R8" s="200">
        <f>VLOOKUP($AC8,'1Q21'!$A:$E,2,FALSE)*0.1^9</f>
        <v>988.28098185200088</v>
      </c>
      <c r="S8" s="202">
        <f>VLOOKUP($AD8,'2Q21'!$A:$E,2,FALSE)*0.1^9</f>
        <v>1019.3539805120009</v>
      </c>
      <c r="T8" s="200">
        <f>VLOOKUP($AD8,'3Q21'!$A:$E,2,FALSE)*0.1^9</f>
        <v>927.06525331500086</v>
      </c>
      <c r="U8" s="200">
        <v>859.25842427600094</v>
      </c>
      <c r="V8" s="201">
        <v>3793.9586399550035</v>
      </c>
      <c r="W8" s="473">
        <f>VLOOKUP($AE8,'Q122'!$A:$E,3,FALSE)*0.1^9</f>
        <v>1073.5628156420009</v>
      </c>
      <c r="X8" s="202"/>
      <c r="Y8" s="200"/>
      <c r="Z8" s="200"/>
      <c r="AA8" s="201"/>
      <c r="AC8" s="46" t="s">
        <v>130</v>
      </c>
      <c r="AD8" s="136" t="s">
        <v>366</v>
      </c>
      <c r="AE8" s="455" t="s">
        <v>784</v>
      </c>
      <c r="AG8" s="131">
        <f>C8+D8+E8</f>
        <v>2192.9645606020017</v>
      </c>
      <c r="AH8" s="131">
        <f>H8+I8+J8</f>
        <v>2660.8648317210022</v>
      </c>
      <c r="AI8" s="130">
        <f>M8+N8+O8</f>
        <v>2332.3434831960021</v>
      </c>
      <c r="AJ8" s="130">
        <f>R8+T8+S8</f>
        <v>2934.7002156790027</v>
      </c>
      <c r="AL8" s="45">
        <f>VLOOKUP($AC8,'3Q19'!$A:$E,5,FALSE)*0.1^9</f>
        <v>2192.9645606020022</v>
      </c>
      <c r="AM8" s="45">
        <f>VLOOKUP($AC8,'3Q19'!$A:$E,3,FALSE)*0.1^9</f>
        <v>2660.8648317210022</v>
      </c>
      <c r="AN8" s="45">
        <f>VLOOKUP("매출",'3Q20'!$A:$E,3,FALSE)*0.1^9</f>
        <v>2332.3434831960021</v>
      </c>
      <c r="AO8" s="45">
        <f>VLOOKUP($AD8,'3Q21'!$A:$E,3,FALSE)*0.1^9</f>
        <v>2934.7002156790027</v>
      </c>
      <c r="AQ8" s="46" t="b">
        <f>IF(ROUND(AG8,0)=ROUND(AL8,0),TRUE,ROUND(AL8,0)-ROUND(AG8,0))</f>
        <v>1</v>
      </c>
      <c r="AR8" s="46" t="b">
        <f t="shared" ref="AR8:AT8" si="0">IF(ROUND(AH8,0)=ROUND(AM8,0),TRUE,ROUND(AM8,0)-ROUND(AH8,0))</f>
        <v>1</v>
      </c>
      <c r="AS8" s="46" t="b">
        <f t="shared" si="0"/>
        <v>1</v>
      </c>
      <c r="AT8" s="46" t="b">
        <f t="shared" si="0"/>
        <v>1</v>
      </c>
    </row>
    <row r="9" spans="1:46" s="6" customFormat="1" ht="12.75" customHeight="1">
      <c r="A9" s="427" t="s">
        <v>72</v>
      </c>
      <c r="B9" s="427" t="s">
        <v>109</v>
      </c>
      <c r="C9" s="203">
        <f>VLOOKUP($AC9,'1Q19'!$A:$E,4,FALSE)*0.1^9</f>
        <v>334.91918243000032</v>
      </c>
      <c r="D9" s="203">
        <f>VLOOKUP($AC9,'2Q19'!$A:$E,4,FALSE)*0.1^9</f>
        <v>385.87628537300037</v>
      </c>
      <c r="E9" s="203">
        <f>VLOOKUP($AC9,'3Q19'!$A:$E,4,FALSE)*0.1^9</f>
        <v>372.01709009800032</v>
      </c>
      <c r="F9" s="203">
        <f t="shared" ref="F9:F24" si="1">G9-SUM(C9:E9)</f>
        <v>394.2934308020001</v>
      </c>
      <c r="G9" s="204">
        <f>VLOOKUP($AC9,'4Q19'!$A:$C,3,FALSE)*0.1^9</f>
        <v>1487.1059887030012</v>
      </c>
      <c r="H9" s="203">
        <f>VLOOKUP($AC9,'1Q19'!$A:$E,2,FALSE)*0.1^9</f>
        <v>416.85733287100038</v>
      </c>
      <c r="I9" s="203">
        <f>VLOOKUP($AC9,'2Q19'!$A:$E,2,FALSE)*0.1^9</f>
        <v>459.3051649830004</v>
      </c>
      <c r="J9" s="203">
        <f>VLOOKUP($AC9,'3Q19'!$A:$E,2,FALSE)*0.1^9</f>
        <v>449.61160411500038</v>
      </c>
      <c r="K9" s="203">
        <f t="shared" ref="K9:K24" si="2">L9-H9-I9-J9</f>
        <v>394.94038571100049</v>
      </c>
      <c r="L9" s="204">
        <f>VLOOKUP($AC9,'4Q19'!$A:$C,2,FALSE)*0.1^9</f>
        <v>1720.7144876800016</v>
      </c>
      <c r="M9" s="203">
        <f>VLOOKUP($AC9,'1Q20'!$A:$E,2,FALSE)*0.1^9</f>
        <v>408.20173110000036</v>
      </c>
      <c r="N9" s="205">
        <f>VLOOKUP($AC9,'2Q20'!$A:$E,2,FALSE)*0.1^9</f>
        <v>298.44193340500027</v>
      </c>
      <c r="O9" s="203">
        <f>VLOOKUP($AC9,'3Q20'!$A:$E,2,FALSE)*0.1^9</f>
        <v>471.10748996800044</v>
      </c>
      <c r="P9" s="203">
        <f t="shared" ref="P9:P24" si="3">Q9-SUM(M9:O9)</f>
        <v>406.41329992700048</v>
      </c>
      <c r="Q9" s="204">
        <f>VLOOKUP($AC9,'4Q20'!$A:$C,2,FALSE)*0.1^9</f>
        <v>1584.1644544000014</v>
      </c>
      <c r="R9" s="203">
        <f>VLOOKUP($AC9,'1Q21'!$A:$E,2,FALSE)*0.1^9</f>
        <v>489.74006054500046</v>
      </c>
      <c r="S9" s="205">
        <f>VLOOKUP($AC9,'2Q21'!$A:$E,2,FALSE)*0.1^9</f>
        <v>496.92735649200046</v>
      </c>
      <c r="T9" s="203">
        <f>VLOOKUP($AC9,'3Q21'!$A:$E,2,FALSE)*0.1^9</f>
        <v>473.90036575300041</v>
      </c>
      <c r="U9" s="203">
        <v>453.14084591400047</v>
      </c>
      <c r="V9" s="204">
        <v>1913.7086287040017</v>
      </c>
      <c r="W9" s="203">
        <f>VLOOKUP($AE9,'Q122'!$A:$E,3,FALSE)*0.1^9</f>
        <v>543.62163109900052</v>
      </c>
      <c r="X9" s="205"/>
      <c r="Y9" s="203"/>
      <c r="Z9" s="203"/>
      <c r="AA9" s="204"/>
      <c r="AC9" s="6" t="s">
        <v>131</v>
      </c>
      <c r="AE9" s="455" t="s">
        <v>786</v>
      </c>
      <c r="AG9" s="132">
        <f t="shared" ref="AG9:AG24" si="4">C9+D9+E9</f>
        <v>1092.8125579010011</v>
      </c>
      <c r="AH9" s="131">
        <f t="shared" ref="AH9:AH24" si="5">H9+I9+J9</f>
        <v>1325.7741019690011</v>
      </c>
      <c r="AI9" s="130">
        <f t="shared" ref="AI9:AI24" si="6">M9+N9+O9</f>
        <v>1177.751154473001</v>
      </c>
      <c r="AJ9" s="130">
        <f t="shared" ref="AJ9:AJ24" si="7">R9+T9+S9</f>
        <v>1460.5677827900013</v>
      </c>
      <c r="AL9" s="17">
        <f>VLOOKUP($AC9,'3Q19'!$A:$E,5,FALSE)*0.1^9</f>
        <v>1092.8125579010009</v>
      </c>
      <c r="AM9" s="17">
        <f>VLOOKUP($AC9,'3Q19'!$A:$E,3,FALSE)*0.1^9</f>
        <v>1325.7741019690011</v>
      </c>
      <c r="AN9" s="17">
        <f>VLOOKUP($AC9,'3Q20'!$A:$E,3,FALSE)*0.1^9</f>
        <v>1177.751154473001</v>
      </c>
      <c r="AO9" s="17">
        <f>VLOOKUP($AC9,'3Q21'!$A:$E,3,FALSE)*0.1^9</f>
        <v>1460.5677827900013</v>
      </c>
      <c r="AQ9" s="46" t="b">
        <f t="shared" ref="AQ9:AQ24" si="8">IF(ROUND(AG9,0)=ROUND(AL9,0),TRUE,ROUND(AL9,0)-ROUND(AG9,0))</f>
        <v>1</v>
      </c>
      <c r="AR9" s="46" t="b">
        <f t="shared" ref="AR9:AR24" si="9">IF(ROUND(AH9,0)=ROUND(AM9,0),TRUE,ROUND(AM9,0)-ROUND(AH9,0))</f>
        <v>1</v>
      </c>
      <c r="AS9" s="46" t="b">
        <f t="shared" ref="AS9:AS24" si="10">IF(ROUND(AI9,0)=ROUND(AN9,0),TRUE,ROUND(AN9,0)-ROUND(AI9,0))</f>
        <v>1</v>
      </c>
      <c r="AT9" s="46" t="b">
        <f t="shared" ref="AT9:AT24" si="11">IF(ROUND(AJ9,0)=ROUND(AO9,0),TRUE,ROUND(AO9,0)-ROUND(AJ9,0))</f>
        <v>1</v>
      </c>
    </row>
    <row r="10" spans="1:46" s="6" customFormat="1" ht="13.5" customHeight="1">
      <c r="A10" s="427" t="s">
        <v>73</v>
      </c>
      <c r="B10" s="427" t="s">
        <v>510</v>
      </c>
      <c r="C10" s="203">
        <f>VLOOKUP($AC10,'1Q19'!$A:$E,4,FALSE)*0.1^9</f>
        <v>341.99792501300033</v>
      </c>
      <c r="D10" s="203">
        <f>VLOOKUP($AC10,'2Q19'!$A:$E,4,FALSE)*0.1^9</f>
        <v>404.29337189700038</v>
      </c>
      <c r="E10" s="203">
        <f>VLOOKUP($AC10,'3Q19'!$A:$E,4,FALSE)*0.1^9</f>
        <v>353.86070579100033</v>
      </c>
      <c r="F10" s="203">
        <f t="shared" si="1"/>
        <v>367.38454903600018</v>
      </c>
      <c r="G10" s="204">
        <f>VLOOKUP($AC10,'4Q19'!$A:$C,3,FALSE)*0.1^9</f>
        <v>1467.5365517370012</v>
      </c>
      <c r="H10" s="203">
        <f>VLOOKUP($AC10,'1Q19'!$A:$E,2,FALSE)*0.1^9</f>
        <v>417.71890277300037</v>
      </c>
      <c r="I10" s="203">
        <f>VLOOKUP($AC10,'2Q19'!$A:$E,2,FALSE)*0.1^9</f>
        <v>499.99748225900044</v>
      </c>
      <c r="J10" s="203">
        <f>VLOOKUP($AC10,'3Q19'!$A:$E,2,FALSE)*0.1^9</f>
        <v>417.37434472000035</v>
      </c>
      <c r="K10" s="203">
        <f t="shared" si="2"/>
        <v>394.61631250400052</v>
      </c>
      <c r="L10" s="204">
        <f>VLOOKUP($AC10,'4Q19'!$A:$C,2,FALSE)*0.1^9</f>
        <v>1729.7070422560016</v>
      </c>
      <c r="M10" s="203">
        <f>VLOOKUP($AC10,'1Q20'!$A:$E,2,FALSE)*0.1^9</f>
        <v>381.69920479200033</v>
      </c>
      <c r="N10" s="205">
        <f>VLOOKUP($AC10,'2Q20'!$A:$E,2,FALSE)*0.1^9</f>
        <v>326.56934346700029</v>
      </c>
      <c r="O10" s="203">
        <f>VLOOKUP($AC10,'3Q20'!$A:$E,2,FALSE)*0.1^9</f>
        <v>446.32378046400038</v>
      </c>
      <c r="P10" s="203">
        <f t="shared" si="3"/>
        <v>390.04906967400029</v>
      </c>
      <c r="Q10" s="204">
        <f>VLOOKUP($AC10,'4Q20'!$A:$C,2,FALSE)*0.1^9</f>
        <v>1544.6413983970015</v>
      </c>
      <c r="R10" s="203">
        <f>VLOOKUP($AC10,'1Q21'!$A:$E,2,FALSE)*0.1^9</f>
        <v>498.54092130700042</v>
      </c>
      <c r="S10" s="205">
        <f>VLOOKUP($AC10,'2Q21'!$A:$E,2,FALSE)*0.1^9</f>
        <v>522.42662402000042</v>
      </c>
      <c r="T10" s="203">
        <f>VLOOKUP($AC10,'3Q21'!$A:$E,2,FALSE)*0.1^9</f>
        <v>453.16488756200039</v>
      </c>
      <c r="U10" s="203">
        <v>406.11757836200053</v>
      </c>
      <c r="V10" s="204">
        <v>1880.2500112510018</v>
      </c>
      <c r="W10" s="203">
        <f>VLOOKUP($AE10,'Q122'!$A:$E,3,FALSE)*0.1^9</f>
        <v>529.94118454300042</v>
      </c>
      <c r="X10" s="205"/>
      <c r="Y10" s="203"/>
      <c r="Z10" s="203"/>
      <c r="AA10" s="204"/>
      <c r="AC10" s="6" t="s">
        <v>132</v>
      </c>
      <c r="AE10" s="455" t="s">
        <v>787</v>
      </c>
      <c r="AG10" s="132">
        <f t="shared" si="4"/>
        <v>1100.152002701001</v>
      </c>
      <c r="AH10" s="131">
        <f t="shared" si="5"/>
        <v>1335.0907297520012</v>
      </c>
      <c r="AI10" s="130">
        <f t="shared" si="6"/>
        <v>1154.5923287230012</v>
      </c>
      <c r="AJ10" s="130">
        <f t="shared" si="7"/>
        <v>1474.1324328890012</v>
      </c>
      <c r="AL10" s="17">
        <f>VLOOKUP($AC10,'3Q19'!$A:$E,5,FALSE)*0.1^9</f>
        <v>1100.152002701001</v>
      </c>
      <c r="AM10" s="17">
        <f>VLOOKUP($AC10,'3Q19'!$A:$E,3,FALSE)*0.1^9</f>
        <v>1335.0907297520012</v>
      </c>
      <c r="AN10" s="17">
        <f>VLOOKUP($AC10,'3Q20'!$A:$E,3,FALSE)*0.1^9</f>
        <v>1154.5923287230009</v>
      </c>
      <c r="AO10" s="17">
        <f>VLOOKUP($AC10,'3Q21'!$A:$E,3,FALSE)*0.1^9</f>
        <v>1474.1324328890014</v>
      </c>
      <c r="AQ10" s="46" t="b">
        <f t="shared" si="8"/>
        <v>1</v>
      </c>
      <c r="AR10" s="46" t="b">
        <f t="shared" si="9"/>
        <v>1</v>
      </c>
      <c r="AS10" s="46" t="b">
        <f t="shared" si="10"/>
        <v>1</v>
      </c>
      <c r="AT10" s="46" t="b">
        <f t="shared" si="11"/>
        <v>1</v>
      </c>
    </row>
    <row r="11" spans="1:46" s="6" customFormat="1" ht="13.5" customHeight="1">
      <c r="A11" s="427" t="s">
        <v>115</v>
      </c>
      <c r="B11" s="427" t="s">
        <v>110</v>
      </c>
      <c r="C11" s="203">
        <f>VLOOKUP($AC11,'1Q19'!$A:$E,4,FALSE)*0.1^9</f>
        <v>257.06577067900025</v>
      </c>
      <c r="D11" s="203">
        <f>VLOOKUP($AC11,'2Q19'!$A:$E,4,FALSE)*0.1^9</f>
        <v>288.63912453600028</v>
      </c>
      <c r="E11" s="203">
        <f>VLOOKUP($AC11,'3Q19'!$A:$E,4,FALSE)*0.1^9</f>
        <v>279.94804476300027</v>
      </c>
      <c r="F11" s="203">
        <f t="shared" si="1"/>
        <v>284.78144226600011</v>
      </c>
      <c r="G11" s="204">
        <f>VLOOKUP($AC11,'4Q19'!$A:$C,3,FALSE)*0.1^9</f>
        <v>1110.434382244001</v>
      </c>
      <c r="H11" s="203">
        <f>VLOOKUP($AC11,'1Q19'!$A:$E,2,FALSE)*0.1^9</f>
        <v>301.86892579500028</v>
      </c>
      <c r="I11" s="203">
        <f>VLOOKUP($AC11,'2Q19'!$A:$E,2,FALSE)*0.1^9</f>
        <v>355.12510499600029</v>
      </c>
      <c r="J11" s="203">
        <f>VLOOKUP($AC11,'3Q19'!$A:$E,2,FALSE)*0.1^9</f>
        <v>292.49405244900026</v>
      </c>
      <c r="K11" s="203">
        <f t="shared" si="2"/>
        <v>309.54246637000028</v>
      </c>
      <c r="L11" s="204">
        <f>VLOOKUP($AC11,'4Q19'!$A:$C,2,FALSE)*0.1^9</f>
        <v>1259.0305496100011</v>
      </c>
      <c r="M11" s="203">
        <f>VLOOKUP($AC11,'1Q20'!$A:$E,2,FALSE)*0.1^9</f>
        <v>314.55698871700025</v>
      </c>
      <c r="N11" s="205">
        <f>VLOOKUP($AC11,'2Q20'!$A:$E,2,FALSE)*0.1^9</f>
        <v>276.28866527200023</v>
      </c>
      <c r="O11" s="203">
        <f>VLOOKUP($AC11,'3Q20'!$A:$E,2,FALSE)*0.1^9</f>
        <v>290.74125270400026</v>
      </c>
      <c r="P11" s="203">
        <f t="shared" si="3"/>
        <v>321.97660742300013</v>
      </c>
      <c r="Q11" s="204">
        <f>VLOOKUP($AC11,'4Q20'!$A:$C,2,FALSE)*0.1^9</f>
        <v>1203.563514116001</v>
      </c>
      <c r="R11" s="203">
        <f>VLOOKUP($AC11,'1Q21'!$A:$E,2,FALSE)*0.1^9</f>
        <v>314.97197217100029</v>
      </c>
      <c r="S11" s="205">
        <f>VLOOKUP($AC11,'2Q21'!$A:$E,2,FALSE)*0.1^9</f>
        <v>348.64094279200032</v>
      </c>
      <c r="T11" s="203">
        <f>VLOOKUP($AC11,'3Q21'!$A:$E,2,FALSE)*0.1^9</f>
        <v>342.85416153500029</v>
      </c>
      <c r="U11" s="203">
        <v>380.93178058400048</v>
      </c>
      <c r="V11" s="204">
        <v>1387.3988570820013</v>
      </c>
      <c r="W11" s="203">
        <f>VLOOKUP($AE11,'Q122'!$A:$E,3,FALSE)*0.1^9</f>
        <v>361.14736909600032</v>
      </c>
      <c r="X11" s="205"/>
      <c r="Y11" s="203"/>
      <c r="Z11" s="203"/>
      <c r="AA11" s="204"/>
      <c r="AC11" s="6" t="s">
        <v>133</v>
      </c>
      <c r="AE11" s="455" t="s">
        <v>788</v>
      </c>
      <c r="AG11" s="132">
        <f t="shared" si="4"/>
        <v>825.65293997800086</v>
      </c>
      <c r="AH11" s="131">
        <f t="shared" si="5"/>
        <v>949.48808324000083</v>
      </c>
      <c r="AI11" s="130">
        <f t="shared" si="6"/>
        <v>881.58690669300086</v>
      </c>
      <c r="AJ11" s="130">
        <f t="shared" si="7"/>
        <v>1006.4670764980008</v>
      </c>
      <c r="AL11" s="17">
        <f>VLOOKUP($AC11,'3Q19'!$A:$E,5,FALSE)*0.1^9</f>
        <v>825.65293997800075</v>
      </c>
      <c r="AM11" s="17">
        <f>VLOOKUP($AC11,'3Q19'!$A:$E,3,FALSE)*0.1^9</f>
        <v>949.48808324000083</v>
      </c>
      <c r="AN11" s="17">
        <f>VLOOKUP($AC11,'3Q20'!$A:$E,3,FALSE)*0.1^9</f>
        <v>881.58690669300074</v>
      </c>
      <c r="AO11" s="17">
        <f>VLOOKUP($AC11,'3Q21'!$A:$E,3,FALSE)*0.1^9</f>
        <v>1006.4670764980009</v>
      </c>
      <c r="AQ11" s="46" t="b">
        <f t="shared" si="8"/>
        <v>1</v>
      </c>
      <c r="AR11" s="46" t="b">
        <f t="shared" si="9"/>
        <v>1</v>
      </c>
      <c r="AS11" s="46" t="b">
        <f t="shared" si="10"/>
        <v>1</v>
      </c>
      <c r="AT11" s="46" t="b">
        <f t="shared" si="11"/>
        <v>1</v>
      </c>
    </row>
    <row r="12" spans="1:46" s="46" customFormat="1" ht="18" customHeight="1">
      <c r="A12" s="44" t="s">
        <v>161</v>
      </c>
      <c r="B12" s="44" t="s">
        <v>511</v>
      </c>
      <c r="C12" s="199">
        <f>VLOOKUP($AC12,'1Q19'!$A:$E,4,FALSE)*0.1^9</f>
        <v>84.932154334000074</v>
      </c>
      <c r="D12" s="200">
        <f>VLOOKUP($AC12,'2Q19'!$A:$E,4,FALSE)*0.1^9</f>
        <v>115.6542473610001</v>
      </c>
      <c r="E12" s="200">
        <f>VLOOKUP($AC12,'3Q19'!$A:$E,4,FALSE)*0.1^9</f>
        <v>73.912661028000059</v>
      </c>
      <c r="F12" s="200">
        <f t="shared" si="1"/>
        <v>82.603106770000068</v>
      </c>
      <c r="G12" s="201">
        <f>VLOOKUP($AC12,'4Q19'!$A:$C,3,FALSE)*0.1^9</f>
        <v>357.1021694930003</v>
      </c>
      <c r="H12" s="200">
        <f>VLOOKUP($AC12,'1Q19'!$A:$E,2,FALSE)*0.1^9</f>
        <v>115.8499769780001</v>
      </c>
      <c r="I12" s="200">
        <f>VLOOKUP($AC12,'2Q19'!$A:$E,2,FALSE)*0.1^9</f>
        <v>144.87237726300012</v>
      </c>
      <c r="J12" s="200">
        <f>VLOOKUP($AC12,'3Q19'!$A:$E,2,FALSE)*0.1^9</f>
        <v>124.88029227100012</v>
      </c>
      <c r="K12" s="200">
        <f t="shared" si="2"/>
        <v>85.073846134000121</v>
      </c>
      <c r="L12" s="201">
        <f>VLOOKUP($AC12,'4Q19'!$A:$C,2,FALSE)*0.1^9</f>
        <v>470.67649264600044</v>
      </c>
      <c r="M12" s="200">
        <f>VLOOKUP($AC12,'1Q20'!$A:$E,2,FALSE)*0.1^9</f>
        <v>67.142216075000064</v>
      </c>
      <c r="N12" s="202">
        <f>VLOOKUP($AC12,'2Q20'!$A:$E,2,FALSE)*0.1^9</f>
        <v>50.280678195000043</v>
      </c>
      <c r="O12" s="200">
        <f>VLOOKUP($AC12,'3Q20'!$A:$E,2,FALSE)*0.1^9</f>
        <v>155.58252776000015</v>
      </c>
      <c r="P12" s="200">
        <f t="shared" si="3"/>
        <v>68.072462251000047</v>
      </c>
      <c r="Q12" s="201">
        <f>VLOOKUP($AC12,'4Q20'!$A:$C,2,FALSE)*0.1^9</f>
        <v>341.07788428100031</v>
      </c>
      <c r="R12" s="200">
        <f>VLOOKUP($AC12,'1Q21'!$A:$E,2,FALSE)*0.1^9</f>
        <v>183.56894913600016</v>
      </c>
      <c r="S12" s="202">
        <f>VLOOKUP($AC12,'2Q21'!$A:$E,2,FALSE)*0.1^9</f>
        <v>173.78568122800016</v>
      </c>
      <c r="T12" s="200">
        <f>VLOOKUP($AC12,'3Q21'!$A:$E,2,FALSE)*0.1^9</f>
        <v>110.3107260270001</v>
      </c>
      <c r="U12" s="200">
        <v>25.185797778000051</v>
      </c>
      <c r="V12" s="201">
        <v>492.85115416900044</v>
      </c>
      <c r="W12" s="200">
        <f>VLOOKUP($AE12,'Q122'!$A:$E,3,FALSE)*0.1^9</f>
        <v>168.79381544700016</v>
      </c>
      <c r="X12" s="202"/>
      <c r="Y12" s="200"/>
      <c r="Z12" s="200"/>
      <c r="AA12" s="201"/>
      <c r="AC12" s="46" t="s">
        <v>134</v>
      </c>
      <c r="AD12" s="136"/>
      <c r="AE12" s="455" t="s">
        <v>790</v>
      </c>
      <c r="AG12" s="131">
        <f t="shared" si="4"/>
        <v>274.49906272300024</v>
      </c>
      <c r="AH12" s="131">
        <f t="shared" si="5"/>
        <v>385.60264651200032</v>
      </c>
      <c r="AI12" s="130">
        <f t="shared" si="6"/>
        <v>273.00542203000026</v>
      </c>
      <c r="AJ12" s="130">
        <f t="shared" si="7"/>
        <v>467.66535639100039</v>
      </c>
      <c r="AL12" s="45">
        <f>VLOOKUP($AC12,'3Q19'!$A:$E,5,FALSE)*0.1^9</f>
        <v>274.49906272300024</v>
      </c>
      <c r="AM12" s="45">
        <f>VLOOKUP($AC12,'3Q19'!$A:$E,3,FALSE)*0.1^9</f>
        <v>385.60264651200032</v>
      </c>
      <c r="AN12" s="45">
        <f>VLOOKUP($AC12,'3Q20'!$A:$E,3,FALSE)*0.1^9</f>
        <v>273.00542203000026</v>
      </c>
      <c r="AO12" s="45">
        <f>VLOOKUP($AC12,'3Q21'!$A:$E,3,FALSE)*0.1^9</f>
        <v>467.66535639100044</v>
      </c>
      <c r="AQ12" s="46" t="b">
        <f t="shared" si="8"/>
        <v>1</v>
      </c>
      <c r="AR12" s="46" t="b">
        <f t="shared" si="9"/>
        <v>1</v>
      </c>
      <c r="AS12" s="46" t="b">
        <f t="shared" si="10"/>
        <v>1</v>
      </c>
      <c r="AT12" s="46" t="b">
        <f t="shared" si="11"/>
        <v>1</v>
      </c>
    </row>
    <row r="13" spans="1:46" s="6" customFormat="1" ht="13.5" customHeight="1">
      <c r="A13" s="427" t="s">
        <v>74</v>
      </c>
      <c r="B13" s="427" t="s">
        <v>512</v>
      </c>
      <c r="C13" s="203">
        <f>VLOOKUP($AC13,'1Q19'!$A:$E,4,FALSE)*0.1^9</f>
        <v>1.2436815840000011</v>
      </c>
      <c r="D13" s="203">
        <f>VLOOKUP($AC13,'2Q19'!$A:$E,4,FALSE)*0.1^9</f>
        <v>1.7718661510000016</v>
      </c>
      <c r="E13" s="203">
        <f>VLOOKUP($AC13,'3Q19'!$A:$E,4,FALSE)*0.1^9</f>
        <v>19.503136109000017</v>
      </c>
      <c r="F13" s="203">
        <f t="shared" si="1"/>
        <v>11.525388665000012</v>
      </c>
      <c r="G13" s="204">
        <f>VLOOKUP($AC13,'4Q19'!$A:$C,3,FALSE)*0.1^9</f>
        <v>34.044072509000031</v>
      </c>
      <c r="H13" s="203">
        <f>VLOOKUP($AC13,'1Q19'!$A:$E,2,FALSE)*0.1^9</f>
        <v>3.1042309590000028</v>
      </c>
      <c r="I13" s="203">
        <f>VLOOKUP($AC13,'2Q19'!$A:$E,2,FALSE)*0.1^9</f>
        <v>1.1202953670000011</v>
      </c>
      <c r="J13" s="203">
        <f>VLOOKUP($AC13,'3Q19'!$A:$E,2,FALSE)*0.1^9</f>
        <v>26.799045185000026</v>
      </c>
      <c r="K13" s="203">
        <f t="shared" si="2"/>
        <v>2.6922356130000011</v>
      </c>
      <c r="L13" s="204">
        <f>VLOOKUP($AC13,'4Q19'!$A:$C,2,FALSE)*0.1^9</f>
        <v>33.71580712400003</v>
      </c>
      <c r="M13" s="203">
        <f>VLOOKUP($AC13,'1Q20'!$A:$E,2,FALSE)*0.1^9</f>
        <v>0.9127573580000008</v>
      </c>
      <c r="N13" s="205">
        <f>VLOOKUP($AC13,'2Q20'!$A:$E,2,FALSE)*0.1^9</f>
        <v>1.0473549080000009</v>
      </c>
      <c r="O13" s="203">
        <f>VLOOKUP($AC13,'3Q20'!$A:$E,2,FALSE)*0.1^9</f>
        <v>0.63695576600000059</v>
      </c>
      <c r="P13" s="203">
        <f t="shared" si="3"/>
        <v>5.6233307460000042</v>
      </c>
      <c r="Q13" s="204">
        <f>VLOOKUP($AC13,'4Q20'!$A:$C,2,FALSE)*0.1^9</f>
        <v>8.220398778000007</v>
      </c>
      <c r="R13" s="203">
        <f>VLOOKUP($AC13,'1Q21'!$A:$E,2,FALSE)*0.1^9</f>
        <v>0.61953955000000061</v>
      </c>
      <c r="S13" s="205">
        <f>VLOOKUP($AC13,'2Q21'!$A:$E,2,FALSE)*0.1^9</f>
        <v>1.6447948040000016</v>
      </c>
      <c r="T13" s="203">
        <f>VLOOKUP($AC13,'3Q21'!$A:$E,2,FALSE)*0.1^9</f>
        <v>1.5130658210000014</v>
      </c>
      <c r="U13" s="203">
        <v>2.6661856420000021</v>
      </c>
      <c r="V13" s="204">
        <v>6.443585817000006</v>
      </c>
      <c r="W13" s="203">
        <f>VLOOKUP($AE13,'Q122'!$A:$E,3,FALSE)*0.1^9</f>
        <v>1.8049781690000015</v>
      </c>
      <c r="X13" s="205"/>
      <c r="Y13" s="203"/>
      <c r="Z13" s="203"/>
      <c r="AA13" s="204"/>
      <c r="AC13" s="6" t="s">
        <v>135</v>
      </c>
      <c r="AE13" s="455" t="s">
        <v>791</v>
      </c>
      <c r="AG13" s="132">
        <f t="shared" si="4"/>
        <v>22.518683844000019</v>
      </c>
      <c r="AH13" s="131">
        <f t="shared" si="5"/>
        <v>31.023571511000029</v>
      </c>
      <c r="AI13" s="130">
        <f t="shared" si="6"/>
        <v>2.5970680320000024</v>
      </c>
      <c r="AJ13" s="130">
        <f t="shared" si="7"/>
        <v>3.7774001750000039</v>
      </c>
      <c r="AL13" s="17">
        <f>VLOOKUP($AC13,'3Q19'!$A:$E,5,FALSE)*0.1^9</f>
        <v>22.518683844000019</v>
      </c>
      <c r="AM13" s="17">
        <f>VLOOKUP($AC13,'3Q19'!$A:$E,3,FALSE)*0.1^9</f>
        <v>31.023571511000029</v>
      </c>
      <c r="AN13" s="17">
        <f>VLOOKUP($AC13,'3Q20'!$A:$E,3,FALSE)*0.1^9</f>
        <v>2.5970680320000024</v>
      </c>
      <c r="AO13" s="17">
        <f>VLOOKUP($AC13,'3Q21'!$A:$E,3,FALSE)*0.1^9</f>
        <v>3.7774001750000035</v>
      </c>
      <c r="AQ13" s="46" t="b">
        <f t="shared" si="8"/>
        <v>1</v>
      </c>
      <c r="AR13" s="46" t="b">
        <f t="shared" si="9"/>
        <v>1</v>
      </c>
      <c r="AS13" s="46" t="b">
        <f t="shared" si="10"/>
        <v>1</v>
      </c>
      <c r="AT13" s="46" t="b">
        <f t="shared" si="11"/>
        <v>1</v>
      </c>
    </row>
    <row r="14" spans="1:46" s="6" customFormat="1" ht="13.5" customHeight="1">
      <c r="A14" s="427" t="s">
        <v>75</v>
      </c>
      <c r="B14" s="427" t="s">
        <v>513</v>
      </c>
      <c r="C14" s="203">
        <f>VLOOKUP($AC14,'1Q19'!$A:$E,4,FALSE)*0.1^9</f>
        <v>0.77134106000000069</v>
      </c>
      <c r="D14" s="203">
        <f>VLOOKUP($AC14,'2Q19'!$A:$E,4,FALSE)*0.1^9</f>
        <v>2.5248757960000021</v>
      </c>
      <c r="E14" s="203">
        <f>VLOOKUP($AC14,'3Q19'!$A:$E,4,FALSE)*0.1^9</f>
        <v>4.1591811320000041</v>
      </c>
      <c r="F14" s="203">
        <f t="shared" si="1"/>
        <v>10.59741452800001</v>
      </c>
      <c r="G14" s="204">
        <f>VLOOKUP($AC14,'4Q19'!$A:$C,3,FALSE)*0.1^9</f>
        <v>18.052812516000017</v>
      </c>
      <c r="H14" s="203">
        <f>VLOOKUP($AC14,'1Q19'!$A:$E,2,FALSE)*0.1^9</f>
        <v>0.91211247300000076</v>
      </c>
      <c r="I14" s="203">
        <f>VLOOKUP($AC14,'2Q19'!$A:$E,2,FALSE)*0.1^9</f>
        <v>2.6734681460000025</v>
      </c>
      <c r="J14" s="203">
        <f>VLOOKUP($AC14,'3Q19'!$A:$E,2,FALSE)*0.1^9</f>
        <v>0.68327354300000065</v>
      </c>
      <c r="K14" s="203">
        <f t="shared" si="2"/>
        <v>6.5307596840000066</v>
      </c>
      <c r="L14" s="204">
        <f>VLOOKUP($AC14,'4Q19'!$A:$C,2,FALSE)*0.1^9</f>
        <v>10.79961384600001</v>
      </c>
      <c r="M14" s="203">
        <f>VLOOKUP($AC14,'1Q20'!$A:$E,2,FALSE)*0.1^9</f>
        <v>3.0022890710000025</v>
      </c>
      <c r="N14" s="205">
        <f>VLOOKUP($AC14,'2Q20'!$A:$E,2,FALSE)*0.1^9</f>
        <v>1.3207963890000012</v>
      </c>
      <c r="O14" s="203">
        <f>VLOOKUP($AC14,'3Q20'!$A:$E,2,FALSE)*0.1^9</f>
        <v>0.50056064700000047</v>
      </c>
      <c r="P14" s="203">
        <f t="shared" si="3"/>
        <v>17.422561831000017</v>
      </c>
      <c r="Q14" s="204">
        <f>VLOOKUP($AC14,'4Q20'!$A:$C,2,FALSE)*0.1^9</f>
        <v>22.246207938000019</v>
      </c>
      <c r="R14" s="203">
        <f>VLOOKUP($AC14,'1Q21'!$A:$E,2,FALSE)*0.1^9</f>
        <v>0.73359389200000069</v>
      </c>
      <c r="S14" s="205">
        <f>VLOOKUP($AC14,'2Q21'!$A:$E,2,FALSE)*0.1^9</f>
        <v>1.3276865820000012</v>
      </c>
      <c r="T14" s="203">
        <f>VLOOKUP($AC14,'3Q21'!$A:$E,2,FALSE)*0.1^9</f>
        <v>2.3780975960000021</v>
      </c>
      <c r="U14" s="203">
        <v>1.7171648990000015</v>
      </c>
      <c r="V14" s="204">
        <v>6.1565429690000055</v>
      </c>
      <c r="W14" s="203">
        <f>VLOOKUP($AE14,'Q122'!$A:$E,3,FALSE)*0.1^9</f>
        <v>1.276810187000001</v>
      </c>
      <c r="X14" s="205"/>
      <c r="Y14" s="203"/>
      <c r="Z14" s="203"/>
      <c r="AA14" s="204"/>
      <c r="AC14" s="6" t="s">
        <v>136</v>
      </c>
      <c r="AE14" s="455" t="s">
        <v>792</v>
      </c>
      <c r="AG14" s="132">
        <f t="shared" si="4"/>
        <v>7.4553979880000067</v>
      </c>
      <c r="AH14" s="131">
        <f t="shared" si="5"/>
        <v>4.2688541620000038</v>
      </c>
      <c r="AI14" s="130">
        <f t="shared" si="6"/>
        <v>4.8236461070000036</v>
      </c>
      <c r="AJ14" s="130">
        <f t="shared" si="7"/>
        <v>4.4393780700000036</v>
      </c>
      <c r="AL14" s="17">
        <f>VLOOKUP($AC14,'3Q19'!$A:$E,5,FALSE)*0.1^9</f>
        <v>7.4553979880000067</v>
      </c>
      <c r="AM14" s="17">
        <f>VLOOKUP($AC14,'3Q19'!$A:$E,3,FALSE)*0.1^9</f>
        <v>4.2688541620000038</v>
      </c>
      <c r="AN14" s="17">
        <f>VLOOKUP($AC14,'3Q20'!$A:$E,3,FALSE)*0.1^9</f>
        <v>4.8236461070000045</v>
      </c>
      <c r="AO14" s="17">
        <f>VLOOKUP($AC14,'3Q21'!$A:$E,3,FALSE)*0.1^9</f>
        <v>4.4393780700000036</v>
      </c>
      <c r="AQ14" s="46" t="b">
        <f t="shared" si="8"/>
        <v>1</v>
      </c>
      <c r="AR14" s="46" t="b">
        <f t="shared" si="9"/>
        <v>1</v>
      </c>
      <c r="AS14" s="46" t="b">
        <f t="shared" si="10"/>
        <v>1</v>
      </c>
      <c r="AT14" s="46" t="b">
        <f t="shared" si="11"/>
        <v>1</v>
      </c>
    </row>
    <row r="15" spans="1:46" s="6" customFormat="1" ht="16.5" customHeight="1">
      <c r="A15" s="427" t="s">
        <v>76</v>
      </c>
      <c r="B15" s="427" t="s">
        <v>514</v>
      </c>
      <c r="C15" s="203">
        <f>VLOOKUP($AC15,'1Q19'!$A:$E,4,FALSE)*0.1^9</f>
        <v>8.9431352000000075</v>
      </c>
      <c r="D15" s="203">
        <f>VLOOKUP($AC15,'2Q19'!$A:$E,4,FALSE)*0.1^9</f>
        <v>6.9821349700000059</v>
      </c>
      <c r="E15" s="203">
        <f>VLOOKUP($AC15,'3Q19'!$A:$E,4,FALSE)*0.1^9</f>
        <v>1.0625329980000009</v>
      </c>
      <c r="F15" s="203">
        <f t="shared" si="1"/>
        <v>2.7053626850000043</v>
      </c>
      <c r="G15" s="204">
        <f>VLOOKUP($AC15,'4Q19'!$A:$C,3,FALSE)*0.1^9</f>
        <v>19.693165853000018</v>
      </c>
      <c r="H15" s="203">
        <f>VLOOKUP($AC15,'1Q19'!$A:$E,2,FALSE)*0.1^9</f>
        <v>5.2581941270000048</v>
      </c>
      <c r="I15" s="203">
        <f>VLOOKUP($AC15,'2Q19'!$A:$E,2,FALSE)*0.1^9</f>
        <v>8.7345516320000076</v>
      </c>
      <c r="J15" s="203">
        <f>VLOOKUP($AC15,'3Q19'!$A:$E,2,FALSE)*0.1^9</f>
        <v>7.6208767370000068</v>
      </c>
      <c r="K15" s="203">
        <f t="shared" si="2"/>
        <v>0.24692730799999829</v>
      </c>
      <c r="L15" s="204">
        <f>VLOOKUP($AC15,'4Q19'!$A:$C,2,FALSE)*0.1^9</f>
        <v>21.860549804000019</v>
      </c>
      <c r="M15" s="203">
        <f>VLOOKUP($AC15,'1Q20'!$A:$E,2,FALSE)*0.1^9</f>
        <v>17.315799613000017</v>
      </c>
      <c r="N15" s="205">
        <f>VLOOKUP($AC15,'2Q20'!$A:$E,2,FALSE)*0.1^9</f>
        <v>1.2173735580000011</v>
      </c>
      <c r="O15" s="203">
        <f>VLOOKUP($AC15,'3Q20'!$A:$E,2,FALSE)*0.1^9</f>
        <v>7.6851587090000066</v>
      </c>
      <c r="P15" s="203">
        <f t="shared" si="3"/>
        <v>12.382274080000006</v>
      </c>
      <c r="Q15" s="204">
        <f>VLOOKUP($AC15,'4Q20'!$A:$C,2,FALSE)*0.1^9</f>
        <v>38.600605960000031</v>
      </c>
      <c r="R15" s="203">
        <f>VLOOKUP($AC15,'1Q21'!$A:$E,2,FALSE)*0.1^9</f>
        <v>11.175487857000009</v>
      </c>
      <c r="S15" s="205">
        <f>VLOOKUP($AC15,'2Q21'!$A:$E,2,FALSE)*0.1^9</f>
        <v>7.4610392610000069</v>
      </c>
      <c r="T15" s="203">
        <f>VLOOKUP($AC15,'3Q21'!$A:$E,2,FALSE)*0.1^9</f>
        <v>6.8887173830000057</v>
      </c>
      <c r="U15" s="203">
        <v>-0.20589632699999871</v>
      </c>
      <c r="V15" s="204">
        <v>25.319348174000023</v>
      </c>
      <c r="W15" s="203">
        <f>VLOOKUP($AE15,'Q122'!$A:$E,3,FALSE)*0.1^9</f>
        <v>7.509285554000007</v>
      </c>
      <c r="X15" s="205"/>
      <c r="Y15" s="203"/>
      <c r="Z15" s="203"/>
      <c r="AA15" s="204"/>
      <c r="AC15" s="6" t="s">
        <v>138</v>
      </c>
      <c r="AE15" s="455" t="s">
        <v>793</v>
      </c>
      <c r="AG15" s="132">
        <f t="shared" si="4"/>
        <v>16.987803168000013</v>
      </c>
      <c r="AH15" s="131">
        <f t="shared" si="5"/>
        <v>21.613622496000019</v>
      </c>
      <c r="AI15" s="130">
        <f t="shared" si="6"/>
        <v>26.218331880000026</v>
      </c>
      <c r="AJ15" s="130">
        <f t="shared" si="7"/>
        <v>25.525244501000021</v>
      </c>
      <c r="AL15" s="17">
        <f>VLOOKUP($AC15,'3Q19'!$A:$E,5,FALSE)*0.1^9</f>
        <v>16.987803168000013</v>
      </c>
      <c r="AM15" s="17">
        <f>VLOOKUP($AC15,'3Q19'!$A:$E,3,FALSE)*0.1^9</f>
        <v>21.613622496000019</v>
      </c>
      <c r="AN15" s="17">
        <f>VLOOKUP($AC15,'3Q20'!$A:$E,3,FALSE)*0.1^9</f>
        <v>26.218331880000022</v>
      </c>
      <c r="AO15" s="17">
        <f>VLOOKUP($AC15,'3Q21'!$A:$E,3,FALSE)*0.1^9</f>
        <v>25.525244501000024</v>
      </c>
      <c r="AQ15" s="46" t="b">
        <f t="shared" si="8"/>
        <v>1</v>
      </c>
      <c r="AR15" s="46" t="b">
        <f t="shared" si="9"/>
        <v>1</v>
      </c>
      <c r="AS15" s="46" t="b">
        <f t="shared" si="10"/>
        <v>1</v>
      </c>
      <c r="AT15" s="46" t="b">
        <f t="shared" si="11"/>
        <v>1</v>
      </c>
    </row>
    <row r="16" spans="1:46" s="6" customFormat="1" ht="13.5">
      <c r="A16" s="427" t="s">
        <v>77</v>
      </c>
      <c r="B16" s="427" t="s">
        <v>111</v>
      </c>
      <c r="C16" s="203">
        <f>VLOOKUP($AC16,'1Q19'!$A:$E,4,FALSE)*0.1^9</f>
        <v>19.091772725000016</v>
      </c>
      <c r="D16" s="203">
        <f>VLOOKUP($AC16,'2Q19'!$A:$E,4,FALSE)*0.1^9</f>
        <v>25.544171814000023</v>
      </c>
      <c r="E16" s="203">
        <f>VLOOKUP($AC16,'3Q19'!$A:$E,4,FALSE)*0.1^9</f>
        <v>14.960070636000014</v>
      </c>
      <c r="F16" s="203">
        <f t="shared" si="1"/>
        <v>17.82679918700002</v>
      </c>
      <c r="G16" s="204">
        <f>VLOOKUP($AC16,'4Q19'!$A:$C,3,FALSE)*0.1^9</f>
        <v>77.422814362000068</v>
      </c>
      <c r="H16" s="203">
        <f>VLOOKUP($AC16,'1Q19'!$A:$E,2,FALSE)*0.1^9</f>
        <v>20.679232912000018</v>
      </c>
      <c r="I16" s="203">
        <f>VLOOKUP($AC16,'2Q19'!$A:$E,2,FALSE)*0.1^9</f>
        <v>23.36591076700002</v>
      </c>
      <c r="J16" s="203">
        <f>VLOOKUP($AC16,'3Q19'!$A:$E,2,FALSE)*0.1^9</f>
        <v>22.92080530800002</v>
      </c>
      <c r="K16" s="203">
        <f t="shared" si="2"/>
        <v>14.305334600000016</v>
      </c>
      <c r="L16" s="204">
        <f>VLOOKUP($AC16,'4Q19'!$A:$C,2,FALSE)*0.1^9</f>
        <v>81.27128358700007</v>
      </c>
      <c r="M16" s="203">
        <f>VLOOKUP($AC16,'1Q20'!$A:$E,2,FALSE)*0.1^9</f>
        <v>31.729054495000028</v>
      </c>
      <c r="N16" s="205">
        <f>VLOOKUP($AC16,'2Q20'!$A:$E,2,FALSE)*0.1^9</f>
        <v>9.9082093070000088</v>
      </c>
      <c r="O16" s="203">
        <f>VLOOKUP($AC16,'3Q20'!$A:$E,2,FALSE)*0.1^9</f>
        <v>12.768228780000012</v>
      </c>
      <c r="P16" s="203">
        <f t="shared" si="3"/>
        <v>13.943981887000007</v>
      </c>
      <c r="Q16" s="204">
        <f>VLOOKUP($AC16,'4Q20'!$A:$C,2,FALSE)*0.1^9</f>
        <v>68.349474469000057</v>
      </c>
      <c r="R16" s="203">
        <f>VLOOKUP($AC16,'1Q21'!$A:$E,2,FALSE)*0.1^9</f>
        <v>20.616495140000019</v>
      </c>
      <c r="S16" s="205">
        <f>VLOOKUP($AC16,'2Q21'!$A:$E,2,FALSE)*0.1^9</f>
        <v>14.926154501000013</v>
      </c>
      <c r="T16" s="203">
        <f>VLOOKUP($AC16,'3Q21'!$A:$E,2,FALSE)*0.1^9</f>
        <v>13.713055471000013</v>
      </c>
      <c r="U16" s="203">
        <v>4.9612155960000006</v>
      </c>
      <c r="V16" s="204">
        <v>54.216920708000046</v>
      </c>
      <c r="W16" s="203">
        <f>VLOOKUP($AE16,'Q122'!$A:$E,3,FALSE)*0.1^9</f>
        <v>12.285055437000011</v>
      </c>
      <c r="X16" s="205"/>
      <c r="Y16" s="203"/>
      <c r="Z16" s="203"/>
      <c r="AA16" s="204"/>
      <c r="AC16" s="6" t="s">
        <v>139</v>
      </c>
      <c r="AE16" s="455" t="s">
        <v>794</v>
      </c>
      <c r="AG16" s="132">
        <f t="shared" si="4"/>
        <v>59.596015175000048</v>
      </c>
      <c r="AH16" s="131">
        <f t="shared" si="5"/>
        <v>66.965948987000047</v>
      </c>
      <c r="AI16" s="130">
        <f t="shared" si="6"/>
        <v>54.405492582000051</v>
      </c>
      <c r="AJ16" s="130">
        <f t="shared" si="7"/>
        <v>49.255705112000044</v>
      </c>
      <c r="AL16" s="17">
        <f>VLOOKUP($AC16,'3Q19'!$A:$E,5,FALSE)*0.1^9</f>
        <v>59.596015175000055</v>
      </c>
      <c r="AM16" s="17">
        <f>VLOOKUP($AC16,'3Q19'!$A:$E,3,FALSE)*0.1^9</f>
        <v>66.965948987000061</v>
      </c>
      <c r="AN16" s="17">
        <f>VLOOKUP($AC16,'3Q20'!$A:$E,3,FALSE)*0.1^9</f>
        <v>54.405492582000051</v>
      </c>
      <c r="AO16" s="17">
        <f>VLOOKUP($AC16,'3Q21'!$A:$E,3,FALSE)*0.1^9</f>
        <v>49.255705112000044</v>
      </c>
      <c r="AQ16" s="46" t="b">
        <f t="shared" si="8"/>
        <v>1</v>
      </c>
      <c r="AR16" s="46" t="b">
        <f t="shared" si="9"/>
        <v>1</v>
      </c>
      <c r="AS16" s="46" t="b">
        <f t="shared" si="10"/>
        <v>1</v>
      </c>
      <c r="AT16" s="46" t="b">
        <f t="shared" si="11"/>
        <v>1</v>
      </c>
    </row>
    <row r="17" spans="1:46" s="6" customFormat="1" ht="24">
      <c r="A17" s="427" t="s">
        <v>116</v>
      </c>
      <c r="B17" s="427" t="s">
        <v>372</v>
      </c>
      <c r="C17" s="203">
        <f>VLOOKUP($AC17,'1Q19'!$A:$E,4,FALSE)*0.1^9</f>
        <v>4.8859955420000043</v>
      </c>
      <c r="D17" s="203">
        <f>VLOOKUP($AC17,'2Q19'!$A:$E,4,FALSE)*0.1^9</f>
        <v>6.066237242000005</v>
      </c>
      <c r="E17" s="203">
        <f>VLOOKUP($AC17,'3Q19'!$A:$E,4,FALSE)*0.1^9</f>
        <v>3.6143576720000032</v>
      </c>
      <c r="F17" s="203">
        <f t="shared" si="1"/>
        <v>5.2117883770000049</v>
      </c>
      <c r="G17" s="204">
        <f>VLOOKUP($AC17,'4Q19'!$A:$C,3,FALSE)*0.1^9</f>
        <v>19.778378833000019</v>
      </c>
      <c r="H17" s="203">
        <f>VLOOKUP($AC17,'1Q19'!$A:$E,2,FALSE)*0.1^9</f>
        <v>6.344551136000006</v>
      </c>
      <c r="I17" s="203">
        <f>VLOOKUP($AC17,'2Q19'!$A:$E,2,FALSE)*0.1^9</f>
        <v>9.861280561000008</v>
      </c>
      <c r="J17" s="203">
        <f>VLOOKUP($AC17,'3Q19'!$A:$E,2,FALSE)*0.1^9</f>
        <v>6.2710049400000054</v>
      </c>
      <c r="K17" s="203">
        <f t="shared" si="2"/>
        <v>12.144731991000015</v>
      </c>
      <c r="L17" s="204">
        <f>VLOOKUP($AC17,'4Q19'!$A:$C,2,FALSE)*0.1^9</f>
        <v>34.621568628000034</v>
      </c>
      <c r="M17" s="203">
        <f>VLOOKUP($AC17,'1Q20'!$A:$E,2,FALSE)*0.1^9</f>
        <v>6.8910001380000061</v>
      </c>
      <c r="N17" s="205">
        <f>VLOOKUP($AC17,'2Q20'!$A:$E,2,FALSE)*0.1^9</f>
        <v>11.84351295100001</v>
      </c>
      <c r="O17" s="203">
        <f>VLOOKUP($AC17,'3Q20'!$A:$E,2,FALSE)*0.1^9</f>
        <v>8.629261239000007</v>
      </c>
      <c r="P17" s="203">
        <f t="shared" si="3"/>
        <v>15.23740071000001</v>
      </c>
      <c r="Q17" s="204">
        <f>VLOOKUP($AC17,'4Q20'!$A:$C,2,FALSE)*0.1^9</f>
        <v>42.601175038000036</v>
      </c>
      <c r="R17" s="203">
        <f>VLOOKUP($AC17,'1Q21'!$A:$E,2,FALSE)*0.1^9</f>
        <v>11.662938919000011</v>
      </c>
      <c r="S17" s="205">
        <f>VLOOKUP($AC17,'2Q21'!$A:$E,2,FALSE)*0.1^9</f>
        <v>15.020269390000013</v>
      </c>
      <c r="T17" s="203">
        <f>VLOOKUP($AC17,'3Q21'!$A:$E,2,FALSE)*0.1^9</f>
        <v>6.8668533660000062</v>
      </c>
      <c r="U17" s="203">
        <v>15.009785275000011</v>
      </c>
      <c r="V17" s="204">
        <v>48.559846950000043</v>
      </c>
      <c r="W17" s="203">
        <f>VLOOKUP($AE17,'Q122'!$A:$E,3,FALSE)*0.1^9</f>
        <v>13.447242000000012</v>
      </c>
      <c r="X17" s="205"/>
      <c r="Y17" s="203"/>
      <c r="Z17" s="203"/>
      <c r="AA17" s="204"/>
      <c r="AC17" s="6" t="s">
        <v>140</v>
      </c>
      <c r="AE17" s="455" t="s">
        <v>795</v>
      </c>
      <c r="AG17" s="132">
        <f t="shared" si="4"/>
        <v>14.566590456000014</v>
      </c>
      <c r="AH17" s="131">
        <f t="shared" si="5"/>
        <v>22.476836637000019</v>
      </c>
      <c r="AI17" s="130">
        <f t="shared" si="6"/>
        <v>27.363774328000027</v>
      </c>
      <c r="AJ17" s="130">
        <f t="shared" si="7"/>
        <v>33.55006167500003</v>
      </c>
      <c r="AL17" s="17">
        <f>VLOOKUP($AC17,'3Q19'!$A:$E,5,FALSE)*0.1^9</f>
        <v>14.566590456000013</v>
      </c>
      <c r="AM17" s="17">
        <f>VLOOKUP($AC17,'3Q19'!$A:$E,3,FALSE)*0.1^9</f>
        <v>22.476836637000019</v>
      </c>
      <c r="AN17" s="17">
        <f>VLOOKUP($AC17,'3Q20'!$A:$E,3,FALSE)*0.1^9</f>
        <v>27.363774328000023</v>
      </c>
      <c r="AO17" s="17">
        <f>VLOOKUP($AC17,'3Q21'!$A:$E,3,FALSE)*0.1^9</f>
        <v>33.55006167500003</v>
      </c>
      <c r="AQ17" s="46" t="b">
        <f t="shared" si="8"/>
        <v>1</v>
      </c>
      <c r="AR17" s="46" t="b">
        <f t="shared" si="9"/>
        <v>1</v>
      </c>
      <c r="AS17" s="46" t="b">
        <f t="shared" si="10"/>
        <v>1</v>
      </c>
      <c r="AT17" s="46" t="b">
        <f t="shared" si="11"/>
        <v>1</v>
      </c>
    </row>
    <row r="18" spans="1:46" s="46" customFormat="1" ht="18" customHeight="1">
      <c r="A18" s="47" t="s">
        <v>162</v>
      </c>
      <c r="B18" s="47" t="s">
        <v>112</v>
      </c>
      <c r="C18" s="206">
        <f>VLOOKUP($AC18,'1Q19'!$A:$E,4,FALSE)*0.1^9</f>
        <v>80.749462728000069</v>
      </c>
      <c r="D18" s="206">
        <f>VLOOKUP($AC18,'2Q19'!$A:$E,4,FALSE)*0.1^9</f>
        <v>102.75141146400009</v>
      </c>
      <c r="E18" s="206">
        <f>VLOOKUP($AC18,'3Q19'!$A:$E,4,FALSE)*0.1^9</f>
        <v>79.81923203900007</v>
      </c>
      <c r="F18" s="206">
        <f t="shared" si="1"/>
        <v>73.813292752000109</v>
      </c>
      <c r="G18" s="207">
        <f>VLOOKUP($AC18,'4Q19'!$A:$C,3,FALSE)*0.1^9</f>
        <v>337.13339898300029</v>
      </c>
      <c r="H18" s="206">
        <f>VLOOKUP($AC18,'1Q19'!$A:$E,2,FALSE)*0.1^9</f>
        <v>109.3710782990001</v>
      </c>
      <c r="I18" s="206">
        <f>VLOOKUP($AC18,'2Q19'!$A:$E,2,FALSE)*0.1^9</f>
        <v>139.05697817100011</v>
      </c>
      <c r="J18" s="206">
        <f>VLOOKUP($AC18,'3Q19'!$A:$E,2,FALSE)*0.1^9</f>
        <v>142.66699241100014</v>
      </c>
      <c r="K18" s="206">
        <f t="shared" si="2"/>
        <v>80.159983114000084</v>
      </c>
      <c r="L18" s="207">
        <f>VLOOKUP($AC18,'4Q19'!$A:$C,2,FALSE)*0.1^9</f>
        <v>471.25503199500042</v>
      </c>
      <c r="M18" s="206">
        <f>VLOOKUP($AC18,'1Q20'!$A:$E,2,FALSE)*0.1^9</f>
        <v>57.530429618000049</v>
      </c>
      <c r="N18" s="208">
        <f>VLOOKUP($AC18,'2Q20'!$A:$E,2,FALSE)*0.1^9</f>
        <v>53.15991391600005</v>
      </c>
      <c r="O18" s="206">
        <f>VLOOKUP($AC18,'3Q20'!$A:$E,2,FALSE)*0.1^9</f>
        <v>159.26511404700014</v>
      </c>
      <c r="P18" s="206">
        <f t="shared" si="3"/>
        <v>69.948924069000043</v>
      </c>
      <c r="Q18" s="207">
        <f>VLOOKUP($AC18,'4Q20'!$A:$C,2,FALSE)*0.1^9</f>
        <v>339.90438165000029</v>
      </c>
      <c r="R18" s="206">
        <f>VLOOKUP($AC18,'1Q21'!$A:$E,2,FALSE)*0.1^9</f>
        <v>185.67682643000018</v>
      </c>
      <c r="S18" s="208">
        <f>VLOOKUP($AC18,'2Q21'!$A:$E,2,FALSE)*0.1^9</f>
        <v>181.65794360000015</v>
      </c>
      <c r="T18" s="206">
        <f>VLOOKUP($AC18,'3Q21'!$A:$E,2,FALSE)*0.1^9</f>
        <v>109.48820953000009</v>
      </c>
      <c r="U18" s="206">
        <v>35.977491873000019</v>
      </c>
      <c r="V18" s="207">
        <v>512.80047143300044</v>
      </c>
      <c r="W18" s="206">
        <f>VLOOKUP($AE18,'Q122'!$A:$E,3,FALSE)*0.1^9</f>
        <v>177.99345554600015</v>
      </c>
      <c r="X18" s="208"/>
      <c r="Y18" s="206"/>
      <c r="Z18" s="206"/>
      <c r="AA18" s="207"/>
      <c r="AC18" s="46" t="s">
        <v>141</v>
      </c>
      <c r="AE18" s="455" t="s">
        <v>796</v>
      </c>
      <c r="AG18" s="131">
        <f t="shared" si="4"/>
        <v>263.32010623100018</v>
      </c>
      <c r="AH18" s="131">
        <f t="shared" si="5"/>
        <v>391.09504888100037</v>
      </c>
      <c r="AI18" s="130">
        <f t="shared" si="6"/>
        <v>269.95545758100025</v>
      </c>
      <c r="AJ18" s="130">
        <f t="shared" si="7"/>
        <v>476.82297956000048</v>
      </c>
      <c r="AL18" s="48">
        <f>VLOOKUP($AC18,'3Q19'!$A:$E,5,FALSE)*0.1^9</f>
        <v>263.32010623100024</v>
      </c>
      <c r="AM18" s="48">
        <f>VLOOKUP($AC18,'3Q19'!$A:$E,3,FALSE)*0.1^9</f>
        <v>391.09504888100037</v>
      </c>
      <c r="AN18" s="48">
        <f>VLOOKUP($AC18,'3Q20'!$A:$E,3,FALSE)*0.1^9</f>
        <v>269.95545758100025</v>
      </c>
      <c r="AO18" s="48">
        <f>VLOOKUP($AC18,'3Q21'!$A:$E,3,FALSE)*0.1^9</f>
        <v>476.82297956000042</v>
      </c>
      <c r="AQ18" s="46" t="b">
        <f t="shared" si="8"/>
        <v>1</v>
      </c>
      <c r="AR18" s="46" t="b">
        <f t="shared" si="9"/>
        <v>1</v>
      </c>
      <c r="AS18" s="46" t="b">
        <f t="shared" si="10"/>
        <v>1</v>
      </c>
      <c r="AT18" s="46" t="b">
        <f t="shared" si="11"/>
        <v>1</v>
      </c>
    </row>
    <row r="19" spans="1:46" s="6" customFormat="1" ht="13.5">
      <c r="A19" s="427" t="s">
        <v>192</v>
      </c>
      <c r="B19" s="427" t="s">
        <v>113</v>
      </c>
      <c r="C19" s="203">
        <f>VLOOKUP($AC19,'1Q19'!$A:$E,4,FALSE)*0.1^9</f>
        <v>1.013199122000001</v>
      </c>
      <c r="D19" s="203">
        <f>VLOOKUP($AC19,'2Q19'!$A:$E,4,FALSE)*0.1^9</f>
        <v>21.61249533700002</v>
      </c>
      <c r="E19" s="203">
        <f>VLOOKUP($AC19,'3Q19'!$A:$E,4,FALSE)*0.1^9</f>
        <v>34.517561803000028</v>
      </c>
      <c r="F19" s="203">
        <f t="shared" si="1"/>
        <v>69.940175679000063</v>
      </c>
      <c r="G19" s="204">
        <f>VLOOKUP($AC19,'4Q19'!$A:$C,3,FALSE)*0.1^9</f>
        <v>127.08343194100011</v>
      </c>
      <c r="H19" s="203">
        <f>VLOOKUP($AC19,'1Q19'!$A:$E,2,FALSE)*0.1^9</f>
        <v>13.161028507000012</v>
      </c>
      <c r="I19" s="203">
        <f>VLOOKUP($AC19,'2Q19'!$A:$E,2,FALSE)*0.1^9</f>
        <v>47.085159592000039</v>
      </c>
      <c r="J19" s="203">
        <f>VLOOKUP($AC19,'3Q19'!$A:$E,2,FALSE)*0.1^9</f>
        <v>44.216973888000041</v>
      </c>
      <c r="K19" s="203">
        <f t="shared" si="2"/>
        <v>28.648071160000029</v>
      </c>
      <c r="L19" s="204">
        <f>VLOOKUP($AC19,'4Q19'!$A:$C,2,FALSE)*0.1^9</f>
        <v>133.11123314700012</v>
      </c>
      <c r="M19" s="203">
        <f>VLOOKUP("법인세비용",'1Q20'!$A:$E,2,FALSE)*0.1^9</f>
        <v>18.030286463000017</v>
      </c>
      <c r="N19" s="205">
        <f>VLOOKUP("법인세비용",'2Q20'!$A:$E,2,FALSE)*0.1^9</f>
        <v>7.6396600880000065</v>
      </c>
      <c r="O19" s="203">
        <f>VLOOKUP("법인세비용",'3Q20'!$A:$E,2,FALSE)*0.1^9</f>
        <v>64.150378633000059</v>
      </c>
      <c r="P19" s="203">
        <f t="shared" si="3"/>
        <v>52.345337368000045</v>
      </c>
      <c r="Q19" s="204">
        <f>VLOOKUP("법인세비용",'4Q20'!$A:$E,2,FALSE)*0.1^9</f>
        <v>142.16566255200013</v>
      </c>
      <c r="R19" s="203">
        <f>VLOOKUP("법인세비용",'1Q21'!$A:$E,2,FALSE)*0.1^9</f>
        <v>51.476133152000045</v>
      </c>
      <c r="S19" s="205">
        <f>VLOOKUP("법인세비용",'2Q21'!$A:$E,2,FALSE)*0.1^9</f>
        <v>45.908040065000044</v>
      </c>
      <c r="T19" s="203">
        <f>VLOOKUP("법인세비용",'3Q21'!$A:$E,2,FALSE)*0.1^9</f>
        <v>33.563911161000028</v>
      </c>
      <c r="U19" s="203">
        <v>44.043057341000029</v>
      </c>
      <c r="V19" s="204">
        <v>174.99114171900015</v>
      </c>
      <c r="W19" s="203">
        <f>VLOOKUP($AE19,'Q122'!$A:$E,3,FALSE)*0.1^9</f>
        <v>54.901737768000046</v>
      </c>
      <c r="X19" s="205"/>
      <c r="Y19" s="203"/>
      <c r="Z19" s="206"/>
      <c r="AA19" s="204"/>
      <c r="AC19" s="6" t="s">
        <v>191</v>
      </c>
      <c r="AE19" s="455" t="s">
        <v>797</v>
      </c>
      <c r="AG19" s="132">
        <f t="shared" si="4"/>
        <v>57.143256262000051</v>
      </c>
      <c r="AH19" s="131">
        <f t="shared" si="5"/>
        <v>104.46316198700009</v>
      </c>
      <c r="AI19" s="130">
        <f t="shared" si="6"/>
        <v>89.820325184000083</v>
      </c>
      <c r="AJ19" s="130">
        <f t="shared" si="7"/>
        <v>130.94808437800012</v>
      </c>
      <c r="AL19" s="17">
        <f>VLOOKUP($AC19,'3Q19'!$A:$E,5,FALSE)*0.1^9</f>
        <v>57.143256262000051</v>
      </c>
      <c r="AM19" s="17">
        <f>VLOOKUP($AC19,'3Q19'!$A:$E,3,FALSE)*0.1^9</f>
        <v>104.46316198700009</v>
      </c>
      <c r="AN19" s="17">
        <f>VLOOKUP("법인세비용",'3Q20'!$A:$E,3,FALSE)*0.1^9</f>
        <v>89.820325184000083</v>
      </c>
      <c r="AO19" s="17">
        <f>VLOOKUP("법인세비용",'3Q21'!$A:$E,3,FALSE)*0.1^9</f>
        <v>130.94808437800012</v>
      </c>
      <c r="AQ19" s="46" t="b">
        <f t="shared" si="8"/>
        <v>1</v>
      </c>
      <c r="AR19" s="46" t="b">
        <f t="shared" si="9"/>
        <v>1</v>
      </c>
      <c r="AS19" s="46" t="b">
        <f t="shared" si="10"/>
        <v>1</v>
      </c>
      <c r="AT19" s="46" t="b">
        <f t="shared" si="11"/>
        <v>1</v>
      </c>
    </row>
    <row r="20" spans="1:46" s="46" customFormat="1" ht="18" customHeight="1">
      <c r="A20" s="47" t="s">
        <v>393</v>
      </c>
      <c r="B20" s="47" t="s">
        <v>114</v>
      </c>
      <c r="C20" s="206">
        <f>VLOOKUP($AC20,'1Q19'!$A:$E,4,FALSE)*0.1^9</f>
        <v>79.736263606000065</v>
      </c>
      <c r="D20" s="206">
        <f>VLOOKUP($AC20,'2Q19'!$A:$E,4,FALSE)*0.1^9</f>
        <v>81.138916127000073</v>
      </c>
      <c r="E20" s="206">
        <f>VLOOKUP($AC20,'3Q19'!$A:$E,4,FALSE)*0.1^9</f>
        <v>45.301670236000042</v>
      </c>
      <c r="F20" s="206">
        <f t="shared" si="1"/>
        <v>3.8731170730000031</v>
      </c>
      <c r="G20" s="207">
        <f>VLOOKUP($AC20,'4Q19'!$A:$C,3,FALSE)*0.1^9</f>
        <v>210.04996704200019</v>
      </c>
      <c r="H20" s="206">
        <f>VLOOKUP($AC20,'1Q19'!$A:$E,2,FALSE)*0.1^9</f>
        <v>96.210049792000092</v>
      </c>
      <c r="I20" s="206">
        <f>VLOOKUP($AC20,'2Q19'!$A:$E,2,FALSE)*0.1^9</f>
        <v>91.971818579000086</v>
      </c>
      <c r="J20" s="206">
        <f>VLOOKUP($AC20,'3Q19'!$A:$E,2,FALSE)*0.1^9</f>
        <v>98.450018523000082</v>
      </c>
      <c r="K20" s="206">
        <f t="shared" si="2"/>
        <v>51.511911954000041</v>
      </c>
      <c r="L20" s="207">
        <f>VLOOKUP($AC20,'4Q19'!$A:$C,2,FALSE)*0.1^9</f>
        <v>338.1437988480003</v>
      </c>
      <c r="M20" s="206">
        <f>VLOOKUP($AC20,'1Q20'!$A:$E,2,FALSE)*0.1^9</f>
        <v>39.500143155000032</v>
      </c>
      <c r="N20" s="208">
        <f>VLOOKUP($AC20,'2Q20'!$A:$E,2,FALSE)*0.1^9</f>
        <v>45.520253828000044</v>
      </c>
      <c r="O20" s="206">
        <f>VLOOKUP($AC20,'3Q20'!$A:$E,2,FALSE)*0.1^9</f>
        <v>95.11473541400008</v>
      </c>
      <c r="P20" s="206">
        <f t="shared" si="3"/>
        <v>17.60358670100004</v>
      </c>
      <c r="Q20" s="207">
        <f>VLOOKUP($AC20,'4Q20'!$A:$C,2,FALSE)*0.1^9</f>
        <v>197.73871909800019</v>
      </c>
      <c r="R20" s="206">
        <f>VLOOKUP($AC20,'1Q21'!$A:$E,2,FALSE)*0.1^9</f>
        <v>134.20069327800013</v>
      </c>
      <c r="S20" s="208">
        <f>VLOOKUP($AD20,'2Q21'!$A:$E,2,FALSE)*0.1^9</f>
        <v>135.74990353500013</v>
      </c>
      <c r="T20" s="206">
        <f>VLOOKUP($AC20,'3Q21'!$A:$E,2,FALSE)*0.1^9</f>
        <v>75.92429836900007</v>
      </c>
      <c r="U20" s="206">
        <v>-8.0655654680000453</v>
      </c>
      <c r="V20" s="207">
        <v>337.80932971400028</v>
      </c>
      <c r="W20" s="206">
        <f>VLOOKUP($AE20,'Q122'!$A:$E,3,FALSE)*0.1^9</f>
        <v>123.0917177780001</v>
      </c>
      <c r="X20" s="208"/>
      <c r="Y20" s="206"/>
      <c r="Z20" s="206"/>
      <c r="AA20" s="207"/>
      <c r="AC20" s="46" t="s">
        <v>143</v>
      </c>
      <c r="AD20" s="108" t="s">
        <v>170</v>
      </c>
      <c r="AE20" s="455" t="s">
        <v>798</v>
      </c>
      <c r="AG20" s="131">
        <f t="shared" si="4"/>
        <v>206.17684996900019</v>
      </c>
      <c r="AH20" s="131">
        <f t="shared" si="5"/>
        <v>286.63188689400027</v>
      </c>
      <c r="AI20" s="130">
        <f t="shared" si="6"/>
        <v>180.13513239700015</v>
      </c>
      <c r="AJ20" s="130">
        <f t="shared" si="7"/>
        <v>345.87489518200033</v>
      </c>
      <c r="AL20" s="48">
        <f>VLOOKUP($AC20,'3Q19'!$A:$E,5,FALSE)*0.1^9</f>
        <v>206.17684996900019</v>
      </c>
      <c r="AM20" s="48">
        <f>VLOOKUP($AC20,'3Q19'!$A:$E,3,FALSE)*0.1^9</f>
        <v>286.63188689400027</v>
      </c>
      <c r="AN20" s="48">
        <f>VLOOKUP($AC20,'3Q20'!$A:$E,3,FALSE)*0.1^9</f>
        <v>180.13513239700015</v>
      </c>
      <c r="AO20" s="48">
        <f>VLOOKUP($AC20,'3Q21'!$A:$E,3,FALSE)*0.1^9</f>
        <v>345.87489518200033</v>
      </c>
      <c r="AQ20" s="46" t="b">
        <f t="shared" si="8"/>
        <v>1</v>
      </c>
      <c r="AR20" s="46" t="b">
        <f t="shared" si="9"/>
        <v>1</v>
      </c>
      <c r="AS20" s="46" t="b">
        <f t="shared" si="10"/>
        <v>1</v>
      </c>
      <c r="AT20" s="46" t="b">
        <f t="shared" si="11"/>
        <v>1</v>
      </c>
    </row>
    <row r="21" spans="1:46" s="6" customFormat="1" ht="13.5">
      <c r="A21" s="427" t="s">
        <v>78</v>
      </c>
      <c r="B21" s="427" t="s">
        <v>373</v>
      </c>
      <c r="C21" s="203">
        <f>C22-C20</f>
        <v>-4.9834659250000044</v>
      </c>
      <c r="D21" s="203">
        <f>D22-D20</f>
        <v>72.927882770000053</v>
      </c>
      <c r="E21" s="203">
        <f>E22-E20</f>
        <v>-16.300850957000016</v>
      </c>
      <c r="F21" s="203">
        <f t="shared" si="1"/>
        <v>18.450484300000035</v>
      </c>
      <c r="G21" s="204">
        <f>G22-G20</f>
        <v>70.094050188000068</v>
      </c>
      <c r="H21" s="203">
        <f>H22-H20</f>
        <v>21.021594405000016</v>
      </c>
      <c r="I21" s="203">
        <f>I22-I20</f>
        <v>25.597372244000013</v>
      </c>
      <c r="J21" s="203">
        <f>J22-J20</f>
        <v>70.797352108000055</v>
      </c>
      <c r="K21" s="206">
        <f t="shared" si="2"/>
        <v>-99.68730091900008</v>
      </c>
      <c r="L21" s="204">
        <f>L22-L20</f>
        <v>17.729017838000004</v>
      </c>
      <c r="M21" s="203">
        <f>M22-M20</f>
        <v>71.750873629000068</v>
      </c>
      <c r="N21" s="205">
        <f>N22-N20</f>
        <v>-10.198547917000013</v>
      </c>
      <c r="O21" s="203">
        <f>O22-O20</f>
        <v>-20.177017546000016</v>
      </c>
      <c r="P21" s="206">
        <f t="shared" si="3"/>
        <v>-124.56270777500012</v>
      </c>
      <c r="Q21" s="204">
        <f>Q22-Q20</f>
        <v>-83.187399609000082</v>
      </c>
      <c r="R21" s="203">
        <f>R22-R20</f>
        <v>68.050247986000045</v>
      </c>
      <c r="S21" s="205">
        <f>S22-S20</f>
        <v>7.4795485319999955</v>
      </c>
      <c r="T21" s="203">
        <f>T22-T20</f>
        <v>79.818265690000061</v>
      </c>
      <c r="U21" s="206">
        <f>+V21-R21-S21-T21</f>
        <v>-0.56248252200009574</v>
      </c>
      <c r="V21" s="204">
        <v>154.78557968600001</v>
      </c>
      <c r="W21" s="203">
        <f>VLOOKUP($AE21,'Q122'!$A:$E,3,FALSE)*0.1^9</f>
        <v>40.779033890000036</v>
      </c>
      <c r="X21" s="205"/>
      <c r="Y21" s="203"/>
      <c r="Z21" s="206"/>
      <c r="AA21" s="204"/>
      <c r="AE21" s="455" t="s">
        <v>807</v>
      </c>
      <c r="AG21" s="132">
        <f t="shared" si="4"/>
        <v>51.643565888000033</v>
      </c>
      <c r="AH21" s="131">
        <f t="shared" si="5"/>
        <v>117.41631875700008</v>
      </c>
      <c r="AI21" s="130">
        <f t="shared" si="6"/>
        <v>41.375308166000039</v>
      </c>
      <c r="AJ21" s="130">
        <f t="shared" si="7"/>
        <v>155.3480622080001</v>
      </c>
      <c r="AL21" s="17">
        <f>AL22-AL20</f>
        <v>51.64356588800004</v>
      </c>
      <c r="AM21" s="17">
        <f>AM22-AM20</f>
        <v>117.41631875700011</v>
      </c>
      <c r="AN21" s="17">
        <f>AN22-AN20</f>
        <v>41.375308166000053</v>
      </c>
      <c r="AO21" s="17">
        <f>AO22-AO20</f>
        <v>155.3480622080001</v>
      </c>
      <c r="AQ21" s="46" t="b">
        <f t="shared" si="8"/>
        <v>1</v>
      </c>
      <c r="AR21" s="46" t="b">
        <f t="shared" si="9"/>
        <v>1</v>
      </c>
      <c r="AS21" s="46" t="b">
        <f t="shared" si="10"/>
        <v>1</v>
      </c>
      <c r="AT21" s="46" t="b">
        <f t="shared" si="11"/>
        <v>1</v>
      </c>
    </row>
    <row r="22" spans="1:46" s="6" customFormat="1" ht="13.5">
      <c r="A22" s="427" t="s">
        <v>517</v>
      </c>
      <c r="B22" s="427" t="s">
        <v>515</v>
      </c>
      <c r="C22" s="203">
        <f>VLOOKUP($AC22,'1Q19'!$A:$E,4,FALSE)*0.1^9</f>
        <v>74.752797681000061</v>
      </c>
      <c r="D22" s="203">
        <f>VLOOKUP($AC22,'2Q19'!$A:$E,4,FALSE)*0.1^9</f>
        <v>154.06679889700013</v>
      </c>
      <c r="E22" s="203">
        <f>VLOOKUP($AC22,'3Q19'!$A:$E,4,FALSE)*0.1^9</f>
        <v>29.000819279000027</v>
      </c>
      <c r="F22" s="203">
        <f t="shared" si="1"/>
        <v>22.323601373000031</v>
      </c>
      <c r="G22" s="204">
        <f>VLOOKUP($AC22,'4Q19'!$A:$C,3,FALSE)*0.1^9</f>
        <v>280.14401723000026</v>
      </c>
      <c r="H22" s="203">
        <f>VLOOKUP($AC22,'1Q19'!$A:$E,2,FALSE)*0.1^9</f>
        <v>117.23164419700011</v>
      </c>
      <c r="I22" s="203">
        <f>VLOOKUP($AC22,'2Q19'!$A:$E,2,FALSE)*0.1^9</f>
        <v>117.5691908230001</v>
      </c>
      <c r="J22" s="203">
        <f>VLOOKUP($AC22,'3Q19'!$A:$E,2,FALSE)*0.1^9</f>
        <v>169.24737063100014</v>
      </c>
      <c r="K22" s="203">
        <f t="shared" si="2"/>
        <v>-48.175388965000025</v>
      </c>
      <c r="L22" s="204">
        <f>VLOOKUP($AC22,'4Q19'!$A:$C,2,FALSE)*0.1^9</f>
        <v>355.87281668600031</v>
      </c>
      <c r="M22" s="203">
        <f>VLOOKUP($AC22,'1Q20'!$A:$E,2,FALSE)*0.1^9</f>
        <v>111.2510167840001</v>
      </c>
      <c r="N22" s="205">
        <f>VLOOKUP($AC22,'2Q20'!$A:$E,2,FALSE)*0.1^9</f>
        <v>35.321705911000031</v>
      </c>
      <c r="O22" s="203">
        <f>VLOOKUP($AC22,'3Q20'!$A:$E,2,FALSE)*0.1^9</f>
        <v>74.937717868000064</v>
      </c>
      <c r="P22" s="203">
        <f t="shared" si="3"/>
        <v>-106.95912107400009</v>
      </c>
      <c r="Q22" s="204">
        <f>VLOOKUP($AC22,'4Q20'!$A:$C,2,FALSE)*0.1^9</f>
        <v>114.55131948900011</v>
      </c>
      <c r="R22" s="203">
        <f>VLOOKUP($AC22,'1Q21'!$A:$E,2,FALSE)*0.1^9</f>
        <v>202.25094126400018</v>
      </c>
      <c r="S22" s="205">
        <f>VLOOKUP($AD22,'2Q21'!$A:$E,2,FALSE)*0.1^9</f>
        <v>143.22945206700012</v>
      </c>
      <c r="T22" s="203">
        <f>VLOOKUP($AC22,'3Q21'!$A:$E,2,FALSE)*0.1^9</f>
        <v>155.74256405900013</v>
      </c>
      <c r="U22" s="203">
        <v>-8.6280479899999705</v>
      </c>
      <c r="V22" s="204">
        <v>492.59490940000046</v>
      </c>
      <c r="W22" s="203">
        <f>VLOOKUP($AE22,'Q122'!$A:$E,3,FALSE)*0.1^9</f>
        <v>163.87075166800014</v>
      </c>
      <c r="X22" s="205"/>
      <c r="Y22" s="203"/>
      <c r="Z22" s="203"/>
      <c r="AA22" s="204"/>
      <c r="AC22" s="6" t="s">
        <v>152</v>
      </c>
      <c r="AD22" s="108" t="s">
        <v>174</v>
      </c>
      <c r="AE22" s="455" t="s">
        <v>808</v>
      </c>
      <c r="AG22" s="132">
        <f t="shared" si="4"/>
        <v>257.82041585700023</v>
      </c>
      <c r="AH22" s="131">
        <f t="shared" si="5"/>
        <v>404.04820565100033</v>
      </c>
      <c r="AI22" s="130">
        <f t="shared" si="6"/>
        <v>221.5104405630002</v>
      </c>
      <c r="AJ22" s="130">
        <f t="shared" si="7"/>
        <v>501.22295739000043</v>
      </c>
      <c r="AL22" s="17">
        <f>VLOOKUP($AC22,'3Q19'!$A:$E,5,FALSE)*0.1^9</f>
        <v>257.82041585700023</v>
      </c>
      <c r="AM22" s="17">
        <f>VLOOKUP($AC22,'3Q19'!$A:$E,3,FALSE)*0.1^9</f>
        <v>404.04820565100039</v>
      </c>
      <c r="AN22" s="17">
        <f>VLOOKUP($AC22,'3Q20'!$A:$E,3,FALSE)*0.1^9</f>
        <v>221.5104405630002</v>
      </c>
      <c r="AO22" s="17">
        <f>VLOOKUP($AC22,'3Q21'!$A:$E,3,FALSE)*0.1^9</f>
        <v>501.22295739000043</v>
      </c>
      <c r="AQ22" s="46" t="b">
        <f t="shared" si="8"/>
        <v>1</v>
      </c>
      <c r="AR22" s="46" t="b">
        <f t="shared" si="9"/>
        <v>1</v>
      </c>
      <c r="AS22" s="46" t="b">
        <f t="shared" si="10"/>
        <v>1</v>
      </c>
      <c r="AT22" s="46" t="b">
        <f t="shared" si="11"/>
        <v>1</v>
      </c>
    </row>
    <row r="23" spans="1:46" s="46" customFormat="1" ht="24" customHeight="1">
      <c r="A23" s="49" t="s">
        <v>394</v>
      </c>
      <c r="B23" s="49" t="s">
        <v>516</v>
      </c>
      <c r="C23" s="209">
        <f>VLOOKUP($AC23,'1Q19'!$A:$E,4,FALSE)*0.1^9</f>
        <v>38.113369174000034</v>
      </c>
      <c r="D23" s="209">
        <f>VLOOKUP($AC23,'2Q19'!$A:$E,4,FALSE)*0.1^9</f>
        <v>65.741443645000061</v>
      </c>
      <c r="E23" s="209">
        <f>VLOOKUP($AC23,'3Q19'!$A:$E,4,FALSE)*0.1^9</f>
        <v>40.401205429000036</v>
      </c>
      <c r="F23" s="209">
        <f t="shared" si="1"/>
        <v>-0.7099601900000323</v>
      </c>
      <c r="G23" s="210">
        <f>VLOOKUP($AC23,'4Q19'!$A:$C,3,FALSE)*0.1^9</f>
        <v>143.54605805800011</v>
      </c>
      <c r="H23" s="209">
        <f>VLOOKUP($AC23,'1Q19'!$A:$E,2,FALSE)*0.1^9</f>
        <v>70.278367767000063</v>
      </c>
      <c r="I23" s="209">
        <f>VLOOKUP($AC23,'2Q19'!$A:$E,2,FALSE)*0.1^9</f>
        <v>68.474641893000054</v>
      </c>
      <c r="J23" s="209">
        <f>VLOOKUP($AC23,'3Q19'!$A:$E,2,FALSE)*0.1^9</f>
        <v>80.541457942000065</v>
      </c>
      <c r="K23" s="206">
        <f t="shared" si="2"/>
        <v>47.484256386000041</v>
      </c>
      <c r="L23" s="210">
        <f>VLOOKUP($AC23,'4Q19'!$A:$C,2,FALSE)*0.1^9</f>
        <v>266.77872398800025</v>
      </c>
      <c r="M23" s="209">
        <f>VLOOKUP($AC23,'1Q20'!$A:$E,2,FALSE)*0.1^9</f>
        <v>33.61336405400003</v>
      </c>
      <c r="N23" s="211">
        <f>VLOOKUP($AC23,'2Q20'!$A:$E,2,FALSE)*0.1^9</f>
        <v>39.917923933000033</v>
      </c>
      <c r="O23" s="209">
        <f>VLOOKUP($AC23,'3Q20'!$A:$E,2,FALSE)*0.1^9</f>
        <v>59.602374432000055</v>
      </c>
      <c r="P23" s="206">
        <f t="shared" si="3"/>
        <v>5.8959407099999908</v>
      </c>
      <c r="Q23" s="210">
        <f>VLOOKUP($AC23,'4Q20'!$A:$C,2,FALSE)*0.1^9</f>
        <v>139.02960312900012</v>
      </c>
      <c r="R23" s="209">
        <f>VLOOKUP($AC23,'1Q21'!$A:$E,2,FALSE)*0.1^9</f>
        <v>84.985186138000074</v>
      </c>
      <c r="S23" s="211">
        <f>VLOOKUP($AC23,'2Q21'!$A:$E,2,FALSE)*0.1^9</f>
        <v>90.448234986000074</v>
      </c>
      <c r="T23" s="209">
        <f>VLOOKUP($AC23,'3Q21'!$A:$E,2,FALSE)*0.1^9</f>
        <v>53.851087932000048</v>
      </c>
      <c r="U23" s="206">
        <v>5.947445363000007</v>
      </c>
      <c r="V23" s="210">
        <v>235.2319544190002</v>
      </c>
      <c r="W23" s="209">
        <f>VLOOKUP($AE23,'Q122'!$A:$E,3,FALSE)*0.1^9</f>
        <v>76.015035705000074</v>
      </c>
      <c r="X23" s="211"/>
      <c r="Y23" s="209"/>
      <c r="Z23" s="206"/>
      <c r="AA23" s="210"/>
      <c r="AC23" s="46" t="s">
        <v>154</v>
      </c>
      <c r="AE23" s="455" t="s">
        <v>810</v>
      </c>
      <c r="AG23" s="131">
        <f t="shared" si="4"/>
        <v>144.25601824800015</v>
      </c>
      <c r="AH23" s="131">
        <f t="shared" si="5"/>
        <v>219.29446760200017</v>
      </c>
      <c r="AI23" s="130">
        <f t="shared" si="6"/>
        <v>133.13366241900013</v>
      </c>
      <c r="AJ23" s="130">
        <f t="shared" si="7"/>
        <v>229.28450905600019</v>
      </c>
      <c r="AL23" s="50">
        <f>VLOOKUP($AC23,'3Q19'!$A:$E,5,FALSE)*0.1^9</f>
        <v>144.25601824800012</v>
      </c>
      <c r="AM23" s="50">
        <f>VLOOKUP($AC23,'3Q19'!$A:$E,3,FALSE)*0.1^9</f>
        <v>219.2944676020002</v>
      </c>
      <c r="AN23" s="50">
        <f>VLOOKUP($AC23,'3Q20'!$A:$E,3,FALSE)*0.1^9</f>
        <v>133.13366241900013</v>
      </c>
      <c r="AO23" s="50">
        <f>VLOOKUP($AC23,'3Q21'!$A:$E,3,FALSE)*0.1^9</f>
        <v>229.28450905600022</v>
      </c>
      <c r="AQ23" s="46" t="b">
        <f t="shared" si="8"/>
        <v>1</v>
      </c>
      <c r="AR23" s="46" t="b">
        <f t="shared" si="9"/>
        <v>1</v>
      </c>
      <c r="AS23" s="46" t="b">
        <f t="shared" si="10"/>
        <v>1</v>
      </c>
      <c r="AT23" s="46" t="b">
        <f t="shared" si="11"/>
        <v>1</v>
      </c>
    </row>
    <row r="24" spans="1:46" s="46" customFormat="1" ht="18" customHeight="1" thickBot="1">
      <c r="A24" s="51" t="s">
        <v>371</v>
      </c>
      <c r="B24" s="51" t="s">
        <v>396</v>
      </c>
      <c r="C24" s="212">
        <f>VLOOKUP($AC24,'1Q19'!$A:$E,4,FALSE)</f>
        <v>624</v>
      </c>
      <c r="D24" s="212">
        <f>VLOOKUP($AC24,'2Q19'!$A:$E,4,FALSE)</f>
        <v>1076</v>
      </c>
      <c r="E24" s="212">
        <f>VLOOKUP($AC24,'3Q19'!$A:$E,4,FALSE)</f>
        <v>661</v>
      </c>
      <c r="F24" s="212">
        <f t="shared" si="1"/>
        <v>-12</v>
      </c>
      <c r="G24" s="213">
        <f>VLOOKUP($AC24,'4Q19'!$A:$C,3,FALSE)</f>
        <v>2349</v>
      </c>
      <c r="H24" s="212">
        <f>VLOOKUP($AC24,'1Q19'!$A:$E,2,FALSE)</f>
        <v>1150</v>
      </c>
      <c r="I24" s="212">
        <f>VLOOKUP($AC24,'2Q19'!$A:$E,2,FALSE)</f>
        <v>1120</v>
      </c>
      <c r="J24" s="212">
        <f>VLOOKUP($AC24,'3Q19'!$A:$E,2,FALSE)</f>
        <v>1318</v>
      </c>
      <c r="K24" s="212">
        <f t="shared" si="2"/>
        <v>794</v>
      </c>
      <c r="L24" s="213">
        <f>VLOOKUP($AC24,'4Q19'!$A:$C,2,FALSE)</f>
        <v>4382</v>
      </c>
      <c r="M24" s="212">
        <f>VLOOKUP($AC24,'1Q20'!$A:$E,2,FALSE)</f>
        <v>555</v>
      </c>
      <c r="N24" s="214">
        <f>VLOOKUP($AC24,'2Q20'!$A:$E,2,FALSE)</f>
        <v>659</v>
      </c>
      <c r="O24" s="212">
        <f>VLOOKUP($AC24,'3Q20'!$A:$E,2,FALSE)</f>
        <v>991</v>
      </c>
      <c r="P24" s="212">
        <f t="shared" si="3"/>
        <v>101</v>
      </c>
      <c r="Q24" s="213">
        <f>VLOOKUP($AC24,'4Q20'!$A:$C,2,FALSE)</f>
        <v>2306</v>
      </c>
      <c r="R24" s="212">
        <f>VLOOKUP($AC24,'1Q21'!$A:$E,2,FALSE)</f>
        <v>1414</v>
      </c>
      <c r="S24" s="214">
        <f>VLOOKUP($AC24,'2Q21'!$A:$E,2,FALSE)</f>
        <v>1505</v>
      </c>
      <c r="T24" s="212">
        <f>VLOOKUP($AC24,'3Q21'!$A:$E,2,FALSE)</f>
        <v>896</v>
      </c>
      <c r="U24" s="212">
        <v>99</v>
      </c>
      <c r="V24" s="213">
        <v>3914</v>
      </c>
      <c r="W24" s="212">
        <v>1265</v>
      </c>
      <c r="X24" s="214"/>
      <c r="Y24" s="212"/>
      <c r="Z24" s="212"/>
      <c r="AA24" s="213"/>
      <c r="AC24" s="46" t="s">
        <v>159</v>
      </c>
      <c r="AG24" s="131">
        <f t="shared" si="4"/>
        <v>2361</v>
      </c>
      <c r="AH24" s="131">
        <f t="shared" si="5"/>
        <v>3588</v>
      </c>
      <c r="AI24" s="130">
        <f t="shared" si="6"/>
        <v>2205</v>
      </c>
      <c r="AJ24" s="130">
        <f t="shared" si="7"/>
        <v>3815</v>
      </c>
      <c r="AL24" s="52">
        <f>VLOOKUP($AC24,'3Q19'!$A:$E,5,FALSE)</f>
        <v>2360</v>
      </c>
      <c r="AM24" s="52">
        <f>VLOOKUP($AC24,'3Q19'!$A:$E,3,FALSE)</f>
        <v>3588</v>
      </c>
      <c r="AN24" s="52">
        <f>VLOOKUP($AC24,'3Q20'!$A:$E,3,FALSE)</f>
        <v>2214</v>
      </c>
      <c r="AO24" s="52">
        <f>VLOOKUP($AC24,'3Q21'!$A:$E,3,FALSE)</f>
        <v>3815</v>
      </c>
      <c r="AQ24" s="46">
        <f t="shared" si="8"/>
        <v>-1</v>
      </c>
      <c r="AR24" s="46" t="b">
        <f t="shared" si="9"/>
        <v>1</v>
      </c>
      <c r="AS24" s="46">
        <f t="shared" si="10"/>
        <v>9</v>
      </c>
      <c r="AT24" s="46" t="b">
        <f t="shared" si="11"/>
        <v>1</v>
      </c>
    </row>
    <row r="25" spans="1:46" s="6" customFormat="1" ht="6" customHeight="1" thickBot="1">
      <c r="A25" s="61"/>
      <c r="B25" s="61"/>
      <c r="L25" s="64"/>
    </row>
    <row r="26" spans="1:46" s="46" customFormat="1" ht="13.5">
      <c r="A26" s="219" t="s">
        <v>415</v>
      </c>
      <c r="B26" s="219" t="s">
        <v>415</v>
      </c>
      <c r="C26" s="220">
        <f>+C27+C28</f>
        <v>-75.897111600000002</v>
      </c>
      <c r="D26" s="220">
        <f t="shared" ref="D26:W26" si="12">+D27+D28</f>
        <v>169.98163070000001</v>
      </c>
      <c r="E26" s="220">
        <f t="shared" si="12"/>
        <v>61.916693200000012</v>
      </c>
      <c r="F26" s="220">
        <f t="shared" si="12"/>
        <v>33.875791</v>
      </c>
      <c r="G26" s="222">
        <f>SUM(C26:F26)</f>
        <v>189.87700330000001</v>
      </c>
      <c r="H26" s="220">
        <f t="shared" si="12"/>
        <v>-79.122342399999994</v>
      </c>
      <c r="I26" s="220">
        <f t="shared" si="12"/>
        <v>150.47702109999997</v>
      </c>
      <c r="J26" s="220">
        <f t="shared" si="12"/>
        <v>106.58242749999999</v>
      </c>
      <c r="K26" s="220">
        <f t="shared" si="12"/>
        <v>94.375728199999983</v>
      </c>
      <c r="L26" s="222">
        <f>SUM(H26:K26)</f>
        <v>272.31283439999993</v>
      </c>
      <c r="M26" s="220">
        <f t="shared" si="12"/>
        <v>-41.735721599999998</v>
      </c>
      <c r="N26" s="221">
        <f t="shared" si="12"/>
        <v>129.36672019999997</v>
      </c>
      <c r="O26" s="220">
        <f t="shared" si="12"/>
        <v>203.58983580000003</v>
      </c>
      <c r="P26" s="220">
        <f t="shared" si="12"/>
        <v>114.49170580000002</v>
      </c>
      <c r="Q26" s="222">
        <f>SUM(M26:P26)</f>
        <v>405.71254020000003</v>
      </c>
      <c r="R26" s="220">
        <f t="shared" si="12"/>
        <v>36.939884999999997</v>
      </c>
      <c r="S26" s="221">
        <f t="shared" si="12"/>
        <v>264.21234670000001</v>
      </c>
      <c r="T26" s="220">
        <f t="shared" si="12"/>
        <v>107.7585164</v>
      </c>
      <c r="U26" s="220">
        <f t="shared" si="12"/>
        <v>65.482073367000041</v>
      </c>
      <c r="V26" s="222">
        <f>SUM(R26:U26)</f>
        <v>474.39282146700009</v>
      </c>
      <c r="W26" s="220">
        <f t="shared" si="12"/>
        <v>-187.46661884399998</v>
      </c>
      <c r="X26" s="221"/>
      <c r="Y26" s="220"/>
      <c r="Z26" s="220"/>
      <c r="AA26" s="222"/>
      <c r="AD26" s="237"/>
      <c r="AE26" s="472"/>
      <c r="AG26" s="131"/>
      <c r="AH26" s="131"/>
      <c r="AI26" s="130"/>
      <c r="AJ26" s="130"/>
      <c r="AL26" s="48"/>
      <c r="AM26" s="48"/>
      <c r="AN26" s="48"/>
      <c r="AO26" s="48"/>
    </row>
    <row r="27" spans="1:46" s="6" customFormat="1" ht="13.5">
      <c r="A27" s="153" t="s">
        <v>416</v>
      </c>
      <c r="B27" s="153" t="s">
        <v>416</v>
      </c>
      <c r="C27" s="203">
        <v>-60.549782299999997</v>
      </c>
      <c r="D27" s="203">
        <v>186.37249650000001</v>
      </c>
      <c r="E27" s="203">
        <v>95.540912200000008</v>
      </c>
      <c r="F27" s="203">
        <v>53.241547500000003</v>
      </c>
      <c r="G27" s="204">
        <f t="shared" ref="G27:G28" si="13">SUM(C27:F27)</f>
        <v>274.60517390000001</v>
      </c>
      <c r="H27" s="203">
        <v>-70.834509499999996</v>
      </c>
      <c r="I27" s="203">
        <v>165.16089559999998</v>
      </c>
      <c r="J27" s="203">
        <v>126.11448799999999</v>
      </c>
      <c r="K27" s="203">
        <v>98.697269199999994</v>
      </c>
      <c r="L27" s="204">
        <f t="shared" ref="L27:L28" si="14">SUM(H27:K27)</f>
        <v>319.13814329999997</v>
      </c>
      <c r="M27" s="203">
        <v>-32.739549199999999</v>
      </c>
      <c r="N27" s="205">
        <v>138.92024859999998</v>
      </c>
      <c r="O27" s="203">
        <v>205.79759950000002</v>
      </c>
      <c r="P27" s="203">
        <v>133.02580650000002</v>
      </c>
      <c r="Q27" s="204">
        <f t="shared" ref="Q27:Q28" si="15">SUM(M27:P27)</f>
        <v>445.00410540000007</v>
      </c>
      <c r="R27" s="203">
        <v>47.343403799999997</v>
      </c>
      <c r="S27" s="205">
        <v>275.37476150000003</v>
      </c>
      <c r="T27" s="203">
        <v>113.6447297</v>
      </c>
      <c r="U27" s="203">
        <v>88.194889342000039</v>
      </c>
      <c r="V27" s="204">
        <f t="shared" ref="V27:V28" si="16">SUM(R27:U27)</f>
        <v>524.55778434199999</v>
      </c>
      <c r="W27" s="203">
        <v>-172.25884463899999</v>
      </c>
      <c r="X27" s="205"/>
      <c r="Y27" s="203"/>
      <c r="Z27" s="203"/>
      <c r="AA27" s="204"/>
      <c r="AD27" s="108"/>
      <c r="AE27" s="471"/>
      <c r="AG27" s="132"/>
      <c r="AH27" s="132"/>
      <c r="AI27" s="218"/>
      <c r="AJ27" s="218"/>
      <c r="AL27" s="17"/>
      <c r="AM27" s="17"/>
      <c r="AN27" s="17"/>
      <c r="AO27" s="17"/>
    </row>
    <row r="28" spans="1:46" s="6" customFormat="1" ht="14.25" thickBot="1">
      <c r="A28" s="223" t="s">
        <v>368</v>
      </c>
      <c r="B28" s="223" t="s">
        <v>368</v>
      </c>
      <c r="C28" s="224">
        <v>-15.3473293</v>
      </c>
      <c r="D28" s="224">
        <v>-16.3908658</v>
      </c>
      <c r="E28" s="224">
        <v>-33.624218999999997</v>
      </c>
      <c r="F28" s="224">
        <v>-19.365756500000003</v>
      </c>
      <c r="G28" s="225">
        <f t="shared" si="13"/>
        <v>-84.728170599999999</v>
      </c>
      <c r="H28" s="224">
        <v>-8.2878328999999997</v>
      </c>
      <c r="I28" s="224">
        <v>-14.6838745</v>
      </c>
      <c r="J28" s="224">
        <v>-19.5320605</v>
      </c>
      <c r="K28" s="224">
        <v>-4.3215410000000043</v>
      </c>
      <c r="L28" s="225">
        <f t="shared" si="14"/>
        <v>-46.825308900000003</v>
      </c>
      <c r="M28" s="224">
        <v>-8.996172399999999</v>
      </c>
      <c r="N28" s="226">
        <v>-9.5535283999999994</v>
      </c>
      <c r="O28" s="224">
        <v>-2.2077637000000001</v>
      </c>
      <c r="P28" s="224">
        <v>-18.5341007</v>
      </c>
      <c r="Q28" s="225">
        <f t="shared" si="15"/>
        <v>-39.291565199999994</v>
      </c>
      <c r="R28" s="224">
        <v>-10.403518800000001</v>
      </c>
      <c r="S28" s="226">
        <v>-11.162414800000001</v>
      </c>
      <c r="T28" s="224">
        <v>-5.8862133000000005</v>
      </c>
      <c r="U28" s="224">
        <v>-22.712815975000002</v>
      </c>
      <c r="V28" s="225">
        <f t="shared" si="16"/>
        <v>-50.164962875000001</v>
      </c>
      <c r="W28" s="224">
        <v>-15.207774205</v>
      </c>
      <c r="X28" s="226"/>
      <c r="Y28" s="224"/>
      <c r="Z28" s="224"/>
      <c r="AA28" s="225"/>
      <c r="AD28" s="108"/>
      <c r="AE28" s="471"/>
      <c r="AG28" s="132"/>
      <c r="AH28" s="132"/>
      <c r="AI28" s="218"/>
      <c r="AJ28" s="218"/>
      <c r="AL28" s="17"/>
      <c r="AM28" s="17"/>
      <c r="AN28" s="17"/>
      <c r="AO28" s="17"/>
    </row>
    <row r="29" spans="1:46" s="6" customFormat="1" ht="6" customHeight="1" thickBot="1">
      <c r="A29" s="61"/>
      <c r="B29" s="61"/>
      <c r="L29" s="64"/>
    </row>
    <row r="30" spans="1:46" s="6" customFormat="1" ht="13.5">
      <c r="A30" s="230" t="s">
        <v>404</v>
      </c>
      <c r="B30" s="230" t="s">
        <v>399</v>
      </c>
      <c r="C30" s="231">
        <f>+C10/C$8*100</f>
        <v>50.522866278984978</v>
      </c>
      <c r="D30" s="231">
        <f t="shared" ref="D30:V30" si="17">+D10/D$8*100</f>
        <v>51.165388113460985</v>
      </c>
      <c r="E30" s="231">
        <f t="shared" si="17"/>
        <v>48.749349793461903</v>
      </c>
      <c r="F30" s="231">
        <f t="shared" si="17"/>
        <v>48.233578856269183</v>
      </c>
      <c r="G30" s="232">
        <f t="shared" si="17"/>
        <v>49.668835794886277</v>
      </c>
      <c r="H30" s="231">
        <f t="shared" si="17"/>
        <v>50.051617207943579</v>
      </c>
      <c r="I30" s="231">
        <f t="shared" si="17"/>
        <v>52.120932189283053</v>
      </c>
      <c r="J30" s="231">
        <f t="shared" si="17"/>
        <v>48.140843029906172</v>
      </c>
      <c r="K30" s="231">
        <f t="shared" si="17"/>
        <v>49.979477521517317</v>
      </c>
      <c r="L30" s="232">
        <f t="shared" si="17"/>
        <v>50.130310956182896</v>
      </c>
      <c r="M30" s="231">
        <f t="shared" si="17"/>
        <v>48.322414552017726</v>
      </c>
      <c r="N30" s="233">
        <f t="shared" si="17"/>
        <v>52.250152205474564</v>
      </c>
      <c r="O30" s="231">
        <f t="shared" si="17"/>
        <v>48.64928794653305</v>
      </c>
      <c r="P30" s="231">
        <f t="shared" si="17"/>
        <v>48.972692817791376</v>
      </c>
      <c r="Q30" s="232">
        <f t="shared" si="17"/>
        <v>49.368400312092419</v>
      </c>
      <c r="R30" s="231">
        <f t="shared" si="17"/>
        <v>50.445261060549171</v>
      </c>
      <c r="S30" s="233">
        <f t="shared" si="17"/>
        <v>51.250756264040497</v>
      </c>
      <c r="T30" s="231">
        <f t="shared" si="17"/>
        <v>48.881660265183378</v>
      </c>
      <c r="U30" s="231">
        <f t="shared" si="17"/>
        <v>47.263729617104367</v>
      </c>
      <c r="V30" s="232">
        <f t="shared" si="17"/>
        <v>49.559054003638309</v>
      </c>
      <c r="W30" s="231">
        <f t="shared" ref="W30" si="18">+W10/W$8*100</f>
        <v>49.362848342142925</v>
      </c>
      <c r="X30" s="233"/>
      <c r="Y30" s="231"/>
      <c r="Z30" s="231"/>
      <c r="AA30" s="232"/>
      <c r="AD30" s="108"/>
      <c r="AE30" s="471"/>
      <c r="AG30" s="132"/>
      <c r="AH30" s="132"/>
      <c r="AI30" s="218"/>
      <c r="AJ30" s="218"/>
      <c r="AL30" s="17"/>
      <c r="AM30" s="17"/>
      <c r="AN30" s="17"/>
      <c r="AO30" s="17"/>
    </row>
    <row r="31" spans="1:46" s="6" customFormat="1" ht="13.5">
      <c r="A31" s="153" t="s">
        <v>405</v>
      </c>
      <c r="B31" s="153" t="s">
        <v>400</v>
      </c>
      <c r="C31" s="227">
        <f>+C12/C$8*100</f>
        <v>12.546906172134486</v>
      </c>
      <c r="D31" s="227">
        <f t="shared" ref="D31:V31" si="19">+D12/D$8*100</f>
        <v>14.636634841254233</v>
      </c>
      <c r="E31" s="227">
        <f t="shared" si="19"/>
        <v>10.182521279284675</v>
      </c>
      <c r="F31" s="227">
        <f t="shared" si="19"/>
        <v>10.844885759670865</v>
      </c>
      <c r="G31" s="228">
        <f t="shared" si="19"/>
        <v>12.086137818885563</v>
      </c>
      <c r="H31" s="227">
        <f t="shared" si="19"/>
        <v>13.8812935272</v>
      </c>
      <c r="I31" s="227">
        <f t="shared" si="19"/>
        <v>15.101842747907432</v>
      </c>
      <c r="J31" s="227">
        <f t="shared" si="19"/>
        <v>14.403958038628668</v>
      </c>
      <c r="K31" s="227">
        <f t="shared" si="19"/>
        <v>10.774887519329745</v>
      </c>
      <c r="L31" s="228">
        <f t="shared" si="19"/>
        <v>13.641130179671999</v>
      </c>
      <c r="M31" s="227">
        <f t="shared" si="19"/>
        <v>8.5000805827859018</v>
      </c>
      <c r="N31" s="229">
        <f t="shared" si="19"/>
        <v>8.0447633595733183</v>
      </c>
      <c r="O31" s="227">
        <f t="shared" si="19"/>
        <v>16.958494088253534</v>
      </c>
      <c r="P31" s="227">
        <f t="shared" si="19"/>
        <v>8.5468522869576269</v>
      </c>
      <c r="Q31" s="228">
        <f t="shared" si="19"/>
        <v>10.901216001500796</v>
      </c>
      <c r="R31" s="227">
        <f t="shared" si="19"/>
        <v>18.574570644069155</v>
      </c>
      <c r="S31" s="229">
        <f t="shared" si="19"/>
        <v>17.048609663613725</v>
      </c>
      <c r="T31" s="227">
        <f t="shared" si="19"/>
        <v>11.898917107781884</v>
      </c>
      <c r="U31" s="227">
        <f t="shared" si="19"/>
        <v>2.9311086241861699</v>
      </c>
      <c r="V31" s="228">
        <f t="shared" si="19"/>
        <v>12.990419794740978</v>
      </c>
      <c r="W31" s="227">
        <f t="shared" ref="W31" si="20">+W12/W$8*100</f>
        <v>15.72277029230561</v>
      </c>
      <c r="X31" s="229"/>
      <c r="Y31" s="227"/>
      <c r="Z31" s="227"/>
      <c r="AA31" s="228"/>
      <c r="AD31" s="108"/>
      <c r="AE31" s="471"/>
      <c r="AG31" s="132"/>
      <c r="AH31" s="132"/>
      <c r="AI31" s="218"/>
      <c r="AJ31" s="218"/>
      <c r="AL31" s="17"/>
      <c r="AM31" s="17"/>
      <c r="AN31" s="17"/>
      <c r="AO31" s="17"/>
    </row>
    <row r="32" spans="1:46" s="6" customFormat="1" ht="13.5">
      <c r="A32" s="153" t="s">
        <v>406</v>
      </c>
      <c r="B32" s="153" t="s">
        <v>401</v>
      </c>
      <c r="C32" s="227">
        <f>+C20/C$8*100</f>
        <v>11.779324636541883</v>
      </c>
      <c r="D32" s="227">
        <f t="shared" ref="D32:V32" si="21">+D20/D$8*100</f>
        <v>10.268543645086455</v>
      </c>
      <c r="E32" s="227">
        <f t="shared" si="21"/>
        <v>6.2409499908339194</v>
      </c>
      <c r="F32" s="227">
        <f t="shared" si="21"/>
        <v>0.50849797099605876</v>
      </c>
      <c r="G32" s="228">
        <f t="shared" si="21"/>
        <v>7.1091498943462632</v>
      </c>
      <c r="H32" s="227">
        <f t="shared" si="21"/>
        <v>11.528012143523307</v>
      </c>
      <c r="I32" s="227">
        <f t="shared" si="21"/>
        <v>9.5873621159515672</v>
      </c>
      <c r="J32" s="227">
        <f t="shared" si="21"/>
        <v>11.355434151532767</v>
      </c>
      <c r="K32" s="227">
        <f t="shared" si="21"/>
        <v>6.524156158823831</v>
      </c>
      <c r="L32" s="228">
        <f t="shared" si="21"/>
        <v>9.8000721336291932</v>
      </c>
      <c r="M32" s="227">
        <f t="shared" si="21"/>
        <v>5.00064518981665</v>
      </c>
      <c r="N32" s="229">
        <f t="shared" si="21"/>
        <v>7.283109203375604</v>
      </c>
      <c r="O32" s="227">
        <f t="shared" si="21"/>
        <v>10.367505281263453</v>
      </c>
      <c r="P32" s="227">
        <f t="shared" si="21"/>
        <v>2.2102220233981438</v>
      </c>
      <c r="Q32" s="228">
        <f t="shared" si="21"/>
        <v>6.3199421249238341</v>
      </c>
      <c r="R32" s="227">
        <f t="shared" si="21"/>
        <v>13.579204269064569</v>
      </c>
      <c r="S32" s="229">
        <f t="shared" si="21"/>
        <v>13.3172485839331</v>
      </c>
      <c r="T32" s="227">
        <f t="shared" si="21"/>
        <v>8.1897469565933889</v>
      </c>
      <c r="U32" s="227">
        <f t="shared" si="21"/>
        <v>-0.93866585885334519</v>
      </c>
      <c r="V32" s="228">
        <f t="shared" si="21"/>
        <v>8.9038748645400823</v>
      </c>
      <c r="W32" s="227">
        <f t="shared" ref="W32" si="22">+W20/W$8*100</f>
        <v>11.465721053722419</v>
      </c>
      <c r="X32" s="229"/>
      <c r="Y32" s="227"/>
      <c r="Z32" s="227"/>
      <c r="AA32" s="228"/>
      <c r="AD32" s="108"/>
      <c r="AE32" s="471"/>
      <c r="AG32" s="132"/>
      <c r="AH32" s="132"/>
      <c r="AI32" s="218"/>
      <c r="AJ32" s="218"/>
      <c r="AL32" s="17"/>
      <c r="AM32" s="17"/>
      <c r="AN32" s="17"/>
      <c r="AO32" s="17"/>
    </row>
    <row r="33" spans="1:41" s="6" customFormat="1" ht="13.5">
      <c r="A33" s="153" t="s">
        <v>407</v>
      </c>
      <c r="B33" s="153" t="s">
        <v>402</v>
      </c>
      <c r="C33" s="227"/>
      <c r="D33" s="227"/>
      <c r="E33" s="227"/>
      <c r="F33" s="227"/>
      <c r="G33" s="228">
        <f>G20/AVERAGE(Data1_BS!E62,Data1_BS!F17)*100</f>
        <v>6.5812717773059362</v>
      </c>
      <c r="H33" s="227">
        <f>SUM(H20,D20,F20,E20)/AVERAGE(C46,H58)*100</f>
        <v>6.574256343633758</v>
      </c>
      <c r="I33" s="227">
        <f>SUM(I20,H20,E20,F20)/AVERAGE(D58,I58)*100</f>
        <v>6.6677410969740309</v>
      </c>
      <c r="J33" s="227">
        <f>SUM(J20,I20,H20,F20)/AVERAGE(E58,J58)*100</f>
        <v>8.0928303163535968</v>
      </c>
      <c r="K33" s="227">
        <f>SUM(K20,J20,I20,H20)/AVERAGE(F58,K58)*100</f>
        <v>9.5593911171578068</v>
      </c>
      <c r="L33" s="228">
        <f>L20/AVERAGE(Data1_BS!F17,Data1_BS!J17)*100</f>
        <v>9.5593911171578068</v>
      </c>
      <c r="M33" s="227">
        <f>SUM(M20,I20,K20,J20)/AVERAGE(H58,M58)*100</f>
        <v>7.230145524412869</v>
      </c>
      <c r="N33" s="227">
        <f>SUM(N20,M20,J20,K20)/AVERAGE(I58,N58)*100</f>
        <v>6.0925400494739614</v>
      </c>
      <c r="O33" s="227">
        <f>SUM(O20,N20,M20,K20)/AVERAGE(J58,O58)*100</f>
        <v>5.9015541122016613</v>
      </c>
      <c r="P33" s="227">
        <f>SUM(P20,O20,N20,M20)/AVERAGE(K58,P58)*100</f>
        <v>5.2529380061964783</v>
      </c>
      <c r="Q33" s="228">
        <f>Q20/AVERAGE(Data1_BS!J17,Data1_BS!N17)*100</f>
        <v>5.2529380061964774</v>
      </c>
      <c r="R33" s="227">
        <f>SUM(R20,N20,P20,O20)/AVERAGE(M58,R58)*100</f>
        <v>7.2045227959949223</v>
      </c>
      <c r="S33" s="227">
        <f>SUM(S20,R20,O20,P20)/AVERAGE(N58,S58)*100</f>
        <v>9.527576516389594</v>
      </c>
      <c r="T33" s="227">
        <f>SUM(T20,S20,R20,P20)/AVERAGE(O58,T58)*100</f>
        <v>8.8482441757532442</v>
      </c>
      <c r="U33" s="227">
        <f>SUM(U20,T20,S20,R20)/AVERAGE(P58,U58)*100</f>
        <v>8.3955963111699319</v>
      </c>
      <c r="V33" s="228">
        <f>V20/AVERAGE(Data1_BS!N17,Data1_BS!R17)*100</f>
        <v>8.3955963111699319</v>
      </c>
      <c r="W33" s="227">
        <f>SUM(W20,S20,U20,T20)/AVERAGE(R58,V58)*100</f>
        <v>7.6153436461032005</v>
      </c>
      <c r="X33" s="229"/>
      <c r="Y33" s="227"/>
      <c r="Z33" s="227"/>
      <c r="AA33" s="228"/>
      <c r="AD33" s="108"/>
      <c r="AE33" s="471"/>
      <c r="AG33" s="132"/>
      <c r="AH33" s="132"/>
      <c r="AI33" s="218"/>
      <c r="AJ33" s="218"/>
      <c r="AL33" s="17"/>
      <c r="AM33" s="17"/>
      <c r="AN33" s="17"/>
      <c r="AO33" s="17"/>
    </row>
    <row r="34" spans="1:41" s="6" customFormat="1" ht="13.5">
      <c r="A34" s="153" t="s">
        <v>403</v>
      </c>
      <c r="B34" s="153" t="s">
        <v>403</v>
      </c>
      <c r="C34" s="227"/>
      <c r="D34" s="227"/>
      <c r="E34" s="227"/>
      <c r="F34" s="227"/>
      <c r="G34" s="228">
        <f>G20/AVERAGE(Data1_BS!E63,Data1_BS!F38)*100</f>
        <v>15.327505874543141</v>
      </c>
      <c r="H34" s="227">
        <f>SUM(D20:F20,H20)/AVERAGE(C47,H59)*100</f>
        <v>15.581488614954209</v>
      </c>
      <c r="I34" s="227">
        <f>SUM(E20:F20,H20:I20)/AVERAGE(D59,I59)*100</f>
        <v>14.95062074489125</v>
      </c>
      <c r="J34" s="227">
        <f>SUM(F20,H20:J20)/AVERAGE(E59,J59)*100</f>
        <v>17.288005925305583</v>
      </c>
      <c r="K34" s="227">
        <f>SUM(H20,I20:K20)/AVERAGE(K59,F59)*100</f>
        <v>20.447479322772399</v>
      </c>
      <c r="L34" s="228">
        <f>L20/AVERAGE(Data1_BS!F38,Data1_BS!J38)*100</f>
        <v>20.447479322772399</v>
      </c>
      <c r="M34" s="227">
        <f>SUM(I20:K20,M20)/AVERAGE(H59,M59)*100</f>
        <v>16.16993446829002</v>
      </c>
      <c r="N34" s="227">
        <f>SUM(J20:K20,M20:N20)/AVERAGE(I59,N59)*100</f>
        <v>13.001139160332647</v>
      </c>
      <c r="O34" s="227">
        <f>SUM(K20,M20:O20)/AVERAGE(J59,O59)*100</f>
        <v>12.055646647984609</v>
      </c>
      <c r="P34" s="227">
        <f>SUM(M20,N20:P20)/AVERAGE(P59,K59)*100</f>
        <v>10.8105001590072</v>
      </c>
      <c r="Q34" s="228">
        <f>Q20/AVERAGE(Data1_BS!J38,Data1_BS!N38)*100</f>
        <v>10.8105001590072</v>
      </c>
      <c r="R34" s="227">
        <f>SUM(N20:P20,R20)/AVERAGE(M59,R59)*100</f>
        <v>14.936505987429133</v>
      </c>
      <c r="S34" s="227">
        <f>SUM(O20:P20,R20:S20)/AVERAGE(N59,S59)*100</f>
        <v>18.589932490287925</v>
      </c>
      <c r="T34" s="227">
        <f>SUM(P20,R20:T20)/AVERAGE(O59,T59)*100</f>
        <v>16.756610277820755</v>
      </c>
      <c r="U34" s="227">
        <f>SUM(R20,S20:U20)/AVERAGE(U59,P59)*100</f>
        <v>16.225944905849154</v>
      </c>
      <c r="V34" s="228">
        <f>V20/AVERAGE(Data1_BS!N38,Data1_BS!R38)*100</f>
        <v>16.225944905849151</v>
      </c>
      <c r="W34" s="227">
        <f>SUM(S20:U20,W20)/AVERAGE(R59,V59)*100</f>
        <v>14.827326121666712</v>
      </c>
      <c r="X34" s="229"/>
      <c r="Y34" s="227"/>
      <c r="Z34" s="227"/>
      <c r="AA34" s="228"/>
      <c r="AD34" s="108"/>
      <c r="AE34" s="471"/>
      <c r="AG34" s="132"/>
      <c r="AH34" s="132"/>
      <c r="AI34" s="218"/>
      <c r="AJ34" s="218"/>
      <c r="AL34" s="17"/>
      <c r="AM34" s="17"/>
      <c r="AN34" s="17"/>
      <c r="AO34" s="17"/>
    </row>
    <row r="35" spans="1:41" s="6" customFormat="1" ht="13.5">
      <c r="A35" s="153" t="s">
        <v>711</v>
      </c>
      <c r="B35" s="153" t="s">
        <v>712</v>
      </c>
      <c r="C35" s="227">
        <f t="shared" ref="C35:W35" si="23">+C12+C55+C54</f>
        <v>101.35276033400008</v>
      </c>
      <c r="D35" s="227">
        <f t="shared" si="23"/>
        <v>132.5552633610001</v>
      </c>
      <c r="E35" s="227">
        <f t="shared" si="23"/>
        <v>90.898097028000066</v>
      </c>
      <c r="F35" s="227">
        <f t="shared" si="23"/>
        <v>97.746618770000069</v>
      </c>
      <c r="G35" s="228">
        <f t="shared" si="23"/>
        <v>422.55273949300027</v>
      </c>
      <c r="H35" s="227">
        <f t="shared" si="23"/>
        <v>137.7115419780001</v>
      </c>
      <c r="I35" s="227">
        <f t="shared" si="23"/>
        <v>168.62748726300012</v>
      </c>
      <c r="J35" s="227">
        <f t="shared" si="23"/>
        <v>148.47968427100011</v>
      </c>
      <c r="K35" s="227">
        <f t="shared" si="23"/>
        <v>109.1920031340001</v>
      </c>
      <c r="L35" s="228">
        <f t="shared" si="23"/>
        <v>564.01071664600045</v>
      </c>
      <c r="M35" s="227">
        <f t="shared" si="23"/>
        <v>91.720914075000053</v>
      </c>
      <c r="N35" s="229">
        <f t="shared" si="23"/>
        <v>74.794363195000045</v>
      </c>
      <c r="O35" s="227">
        <f t="shared" si="23"/>
        <v>182.16967476000016</v>
      </c>
      <c r="P35" s="227">
        <f t="shared" si="23"/>
        <v>92.859418251000037</v>
      </c>
      <c r="Q35" s="228">
        <f t="shared" si="23"/>
        <v>441.54437028100034</v>
      </c>
      <c r="R35" s="227">
        <f t="shared" si="23"/>
        <v>209.51942913600016</v>
      </c>
      <c r="S35" s="229">
        <f t="shared" si="23"/>
        <v>196.95990822800016</v>
      </c>
      <c r="T35" s="227">
        <f t="shared" si="23"/>
        <v>135.7591470270001</v>
      </c>
      <c r="U35" s="227">
        <f t="shared" si="23"/>
        <v>49.836562778000044</v>
      </c>
      <c r="V35" s="228">
        <f t="shared" si="23"/>
        <v>592.07504716900041</v>
      </c>
      <c r="W35" s="227">
        <f>+W12+W55+W54</f>
        <v>195.22324544700015</v>
      </c>
      <c r="X35" s="229"/>
      <c r="Y35" s="227"/>
      <c r="Z35" s="227"/>
      <c r="AA35" s="228"/>
      <c r="AD35" s="108"/>
      <c r="AE35" s="471"/>
      <c r="AG35" s="132"/>
      <c r="AH35" s="132"/>
      <c r="AI35" s="218"/>
      <c r="AJ35" s="218"/>
      <c r="AL35" s="17"/>
      <c r="AM35" s="17"/>
      <c r="AN35" s="17"/>
      <c r="AO35" s="17"/>
    </row>
    <row r="36" spans="1:41" s="6" customFormat="1" ht="13.5">
      <c r="A36" s="153" t="s">
        <v>408</v>
      </c>
      <c r="B36" s="153" t="s">
        <v>660</v>
      </c>
      <c r="C36" s="227">
        <f t="shared" ref="C36:V36" si="24">+C12/C56</f>
        <v>6.4153201735363217</v>
      </c>
      <c r="D36" s="227">
        <f t="shared" si="24"/>
        <v>8.1038935912012331</v>
      </c>
      <c r="E36" s="227">
        <f t="shared" si="24"/>
        <v>5.2351709102416937</v>
      </c>
      <c r="F36" s="227">
        <f t="shared" si="24"/>
        <v>6.7907234290054976</v>
      </c>
      <c r="G36" s="228">
        <f t="shared" si="24"/>
        <v>6.5770042712695966</v>
      </c>
      <c r="H36" s="227">
        <f t="shared" si="24"/>
        <v>7.9509674670504982</v>
      </c>
      <c r="I36" s="227">
        <f t="shared" si="24"/>
        <v>10.129423142978313</v>
      </c>
      <c r="J36" s="227">
        <f t="shared" si="24"/>
        <v>9.4986783246038033</v>
      </c>
      <c r="K36" s="227">
        <f t="shared" si="24"/>
        <v>6.0250304820748486</v>
      </c>
      <c r="L36" s="228">
        <f t="shared" si="24"/>
        <v>8.3839954953590201</v>
      </c>
      <c r="M36" s="227">
        <f t="shared" si="24"/>
        <v>6.254528754884972</v>
      </c>
      <c r="N36" s="229">
        <f t="shared" si="24"/>
        <v>4.4959207486626465</v>
      </c>
      <c r="O36" s="227">
        <f t="shared" si="24"/>
        <v>21.190573788320823</v>
      </c>
      <c r="P36" s="227">
        <f t="shared" si="24"/>
        <v>9.5697079933201508</v>
      </c>
      <c r="Q36" s="228">
        <f t="shared" si="24"/>
        <v>9.3769724749730585</v>
      </c>
      <c r="R36" s="227">
        <f t="shared" si="24"/>
        <v>23.158642610405384</v>
      </c>
      <c r="S36" s="229">
        <f t="shared" si="24"/>
        <v>28.14972566787814</v>
      </c>
      <c r="T36" s="227">
        <f t="shared" si="24"/>
        <v>25.346050473715991</v>
      </c>
      <c r="U36" s="227">
        <f t="shared" si="24"/>
        <v>5.5386463167904303</v>
      </c>
      <c r="V36" s="228">
        <f t="shared" si="24"/>
        <v>21.428614778148614</v>
      </c>
      <c r="W36" s="227">
        <f>+W12/W56</f>
        <v>38.351100248178007</v>
      </c>
      <c r="X36" s="229"/>
      <c r="Y36" s="227"/>
      <c r="Z36" s="227"/>
      <c r="AA36" s="228"/>
      <c r="AD36" s="108"/>
      <c r="AE36" s="471"/>
      <c r="AG36" s="132"/>
      <c r="AH36" s="132"/>
      <c r="AI36" s="218"/>
      <c r="AJ36" s="218"/>
      <c r="AL36" s="17"/>
      <c r="AM36" s="17"/>
      <c r="AN36" s="17"/>
      <c r="AO36" s="17"/>
    </row>
    <row r="37" spans="1:41" s="6" customFormat="1" ht="13.5">
      <c r="A37" s="153" t="s">
        <v>423</v>
      </c>
      <c r="B37" s="153" t="s">
        <v>424</v>
      </c>
      <c r="C37" s="203"/>
      <c r="D37" s="203"/>
      <c r="E37" s="203"/>
      <c r="F37" s="203"/>
      <c r="G37" s="204">
        <v>50</v>
      </c>
      <c r="H37" s="203"/>
      <c r="I37" s="203"/>
      <c r="J37" s="203"/>
      <c r="K37" s="203"/>
      <c r="L37" s="204">
        <v>219</v>
      </c>
      <c r="M37" s="203"/>
      <c r="N37" s="205"/>
      <c r="O37" s="203"/>
      <c r="P37" s="203"/>
      <c r="Q37" s="204">
        <v>185</v>
      </c>
      <c r="R37" s="203"/>
      <c r="S37" s="205"/>
      <c r="T37" s="203"/>
      <c r="U37" s="203"/>
      <c r="V37" s="204">
        <v>1000</v>
      </c>
      <c r="W37" s="203"/>
      <c r="X37" s="205"/>
      <c r="Y37" s="203"/>
      <c r="Z37" s="203"/>
      <c r="AA37" s="204"/>
      <c r="AD37" s="108"/>
      <c r="AE37" s="471"/>
      <c r="AG37" s="132"/>
      <c r="AH37" s="132"/>
      <c r="AI37" s="218"/>
      <c r="AJ37" s="218"/>
      <c r="AL37" s="17"/>
      <c r="AM37" s="17"/>
      <c r="AN37" s="17"/>
      <c r="AO37" s="17"/>
    </row>
    <row r="38" spans="1:41" s="6" customFormat="1" ht="13.5">
      <c r="A38" s="153" t="s">
        <v>409</v>
      </c>
      <c r="B38" s="153" t="s">
        <v>425</v>
      </c>
      <c r="C38" s="227"/>
      <c r="D38" s="227"/>
      <c r="E38" s="227"/>
      <c r="F38" s="227"/>
      <c r="G38" s="228">
        <v>0.1</v>
      </c>
      <c r="H38" s="227"/>
      <c r="I38" s="227"/>
      <c r="J38" s="227"/>
      <c r="K38" s="227"/>
      <c r="L38" s="228">
        <v>0.4</v>
      </c>
      <c r="M38" s="227"/>
      <c r="N38" s="229"/>
      <c r="O38" s="227"/>
      <c r="P38" s="227"/>
      <c r="Q38" s="228">
        <v>0.4</v>
      </c>
      <c r="R38" s="227"/>
      <c r="S38" s="229"/>
      <c r="T38" s="227"/>
      <c r="U38" s="227"/>
      <c r="V38" s="228">
        <v>2.9</v>
      </c>
      <c r="W38" s="227"/>
      <c r="X38" s="229"/>
      <c r="Y38" s="227"/>
      <c r="Z38" s="227"/>
      <c r="AA38" s="228"/>
      <c r="AD38" s="108"/>
      <c r="AE38" s="471"/>
      <c r="AG38" s="132"/>
      <c r="AH38" s="132"/>
      <c r="AI38" s="218"/>
      <c r="AJ38" s="218"/>
      <c r="AL38" s="17"/>
      <c r="AM38" s="17"/>
      <c r="AN38" s="17"/>
      <c r="AO38" s="17"/>
    </row>
    <row r="39" spans="1:41" s="6" customFormat="1" ht="14.25" thickBot="1">
      <c r="A39" s="223" t="s">
        <v>410</v>
      </c>
      <c r="B39" s="223" t="s">
        <v>411</v>
      </c>
      <c r="C39" s="234"/>
      <c r="D39" s="234"/>
      <c r="E39" s="234"/>
      <c r="F39" s="234"/>
      <c r="G39" s="235">
        <f>+G37/G24*100</f>
        <v>2.1285653469561518</v>
      </c>
      <c r="H39" s="234"/>
      <c r="I39" s="234"/>
      <c r="J39" s="234"/>
      <c r="K39" s="234"/>
      <c r="L39" s="235">
        <f>+L37/L24*100</f>
        <v>4.9977179370150617</v>
      </c>
      <c r="M39" s="234"/>
      <c r="N39" s="236"/>
      <c r="O39" s="234"/>
      <c r="P39" s="234"/>
      <c r="Q39" s="235">
        <f>+Q37/Q24*100</f>
        <v>8.0225498699045961</v>
      </c>
      <c r="R39" s="234"/>
      <c r="S39" s="236"/>
      <c r="T39" s="234"/>
      <c r="U39" s="234"/>
      <c r="V39" s="235">
        <f>+V37/V24*100</f>
        <v>25.54931016862545</v>
      </c>
      <c r="W39" s="234"/>
      <c r="X39" s="236"/>
      <c r="Y39" s="234"/>
      <c r="Z39" s="234"/>
      <c r="AA39" s="235"/>
      <c r="AD39" s="108"/>
      <c r="AE39" s="471"/>
      <c r="AG39" s="132"/>
      <c r="AH39" s="132"/>
      <c r="AI39" s="218"/>
      <c r="AJ39" s="218"/>
      <c r="AL39" s="17"/>
      <c r="AM39" s="17"/>
      <c r="AN39" s="17"/>
      <c r="AO39" s="17"/>
    </row>
    <row r="40" spans="1:41" ht="13.5">
      <c r="A40" s="169" t="s">
        <v>380</v>
      </c>
      <c r="B40" s="169" t="s">
        <v>370</v>
      </c>
    </row>
    <row r="41" spans="1:41" ht="13.5">
      <c r="A41" s="169"/>
      <c r="B41" s="169"/>
      <c r="G41" s="1" t="s">
        <v>646</v>
      </c>
      <c r="H41" s="1" t="s">
        <v>647</v>
      </c>
    </row>
    <row r="42" spans="1:41" ht="12.75">
      <c r="A42" s="63" t="s">
        <v>85</v>
      </c>
      <c r="B42" s="63" t="s">
        <v>85</v>
      </c>
      <c r="G42" s="1" t="s">
        <v>648</v>
      </c>
      <c r="H42" s="217" t="s">
        <v>649</v>
      </c>
    </row>
    <row r="43" spans="1:41" ht="12.75">
      <c r="A43" s="215" t="s">
        <v>652</v>
      </c>
      <c r="B43" s="215" t="s">
        <v>653</v>
      </c>
    </row>
    <row r="44" spans="1:41" ht="12.75">
      <c r="A44" s="215" t="s">
        <v>654</v>
      </c>
      <c r="B44" s="215" t="s">
        <v>655</v>
      </c>
    </row>
    <row r="45" spans="1:41" ht="12.75">
      <c r="A45" s="215" t="s">
        <v>420</v>
      </c>
      <c r="B45" s="215" t="s">
        <v>672</v>
      </c>
      <c r="C45" s="1" t="str">
        <f>+Data1_BS!C5</f>
        <v>Q1 18</v>
      </c>
    </row>
    <row r="46" spans="1:41" ht="12.75">
      <c r="A46" s="215" t="s">
        <v>421</v>
      </c>
      <c r="B46" s="238" t="s">
        <v>666</v>
      </c>
      <c r="C46" s="216">
        <f>+Data1_BS!C17</f>
        <v>3227.7653265430031</v>
      </c>
    </row>
    <row r="47" spans="1:41" ht="12.75">
      <c r="A47" s="215" t="s">
        <v>422</v>
      </c>
      <c r="B47" s="238" t="s">
        <v>642</v>
      </c>
      <c r="C47" s="216">
        <f>+Data1_BS!C38</f>
        <v>1301.3980308550013</v>
      </c>
    </row>
    <row r="48" spans="1:41" ht="12.75">
      <c r="A48" s="238" t="s">
        <v>641</v>
      </c>
      <c r="B48" s="238" t="s">
        <v>665</v>
      </c>
    </row>
    <row r="49" spans="1:29" ht="12.75">
      <c r="A49" s="91"/>
      <c r="B49" s="91"/>
    </row>
    <row r="50" spans="1:29" ht="12.75">
      <c r="A50" s="91" t="s">
        <v>426</v>
      </c>
      <c r="B50" s="91" t="s">
        <v>427</v>
      </c>
    </row>
    <row r="51" spans="1:29" ht="12.75">
      <c r="A51" s="91" t="s">
        <v>97</v>
      </c>
      <c r="B51" s="91" t="s">
        <v>643</v>
      </c>
    </row>
    <row r="52" spans="1:29" ht="12.75">
      <c r="A52" s="91" t="s">
        <v>664</v>
      </c>
      <c r="B52" s="91" t="s">
        <v>663</v>
      </c>
    </row>
    <row r="54" spans="1:29" ht="12.75">
      <c r="A54" s="91" t="s">
        <v>818</v>
      </c>
      <c r="B54" s="91" t="s">
        <v>819</v>
      </c>
      <c r="C54" s="216">
        <v>6.0720000000000001</v>
      </c>
      <c r="D54" s="216">
        <f>12.31-C54</f>
        <v>6.2380000000000004</v>
      </c>
      <c r="E54" s="216">
        <f>18.135-C54-D54</f>
        <v>5.825000000000002</v>
      </c>
      <c r="F54" s="216">
        <f>+G54-C54-D54-E54</f>
        <v>5.5019999999999998</v>
      </c>
      <c r="G54" s="408">
        <v>23.637</v>
      </c>
      <c r="H54" s="216">
        <v>5.9349999999999996</v>
      </c>
      <c r="I54" s="216">
        <f>11.982-H54</f>
        <v>6.0469999999999997</v>
      </c>
      <c r="J54" s="216">
        <f>18.135-H54-I54</f>
        <v>6.1530000000000031</v>
      </c>
      <c r="K54" s="216">
        <f>+L54-H54-I54-J54</f>
        <v>5.8879999999999972</v>
      </c>
      <c r="L54" s="408">
        <v>24.023</v>
      </c>
      <c r="M54" s="216">
        <v>6.4219999999999997</v>
      </c>
      <c r="N54" s="216">
        <f>13.291-M54</f>
        <v>6.8690000000000007</v>
      </c>
      <c r="O54" s="216">
        <f>20.387-M54-N54</f>
        <v>7.0959999999999992</v>
      </c>
      <c r="P54" s="216">
        <f>+Q54-M54-N54-O54</f>
        <v>7.0935719999999991</v>
      </c>
      <c r="Q54" s="408">
        <v>27.480571999999999</v>
      </c>
      <c r="R54" s="216">
        <v>8.5289999999999999</v>
      </c>
      <c r="S54" s="216">
        <f>12.709-R54</f>
        <v>4.18</v>
      </c>
      <c r="T54" s="216">
        <f>21.867-R54-S54</f>
        <v>9.1580000000000013</v>
      </c>
      <c r="U54" s="216">
        <f>+V54-R54-S54-T54</f>
        <v>5.1269999999999989</v>
      </c>
      <c r="V54" s="408">
        <v>26.994</v>
      </c>
      <c r="W54" s="216">
        <v>7.3680000000000003</v>
      </c>
      <c r="X54" s="216"/>
      <c r="Y54" s="216"/>
      <c r="Z54" s="216"/>
      <c r="AA54" s="408"/>
      <c r="AB54" s="216"/>
    </row>
    <row r="55" spans="1:29">
      <c r="A55" s="91" t="s">
        <v>419</v>
      </c>
      <c r="C55" s="410">
        <v>10.348606</v>
      </c>
      <c r="D55" s="410">
        <v>10.663015999999999</v>
      </c>
      <c r="E55" s="410">
        <v>11.160435999999999</v>
      </c>
      <c r="F55" s="410">
        <v>9.6415120000000005</v>
      </c>
      <c r="G55" s="411">
        <v>41.813569999999999</v>
      </c>
      <c r="H55" s="410">
        <v>15.926565</v>
      </c>
      <c r="I55" s="410">
        <v>17.708110000000001</v>
      </c>
      <c r="J55" s="410">
        <v>17.446391999999999</v>
      </c>
      <c r="K55" s="410">
        <v>18.230156999999998</v>
      </c>
      <c r="L55" s="411">
        <v>69.311223999999996</v>
      </c>
      <c r="M55" s="410">
        <v>18.156697999999999</v>
      </c>
      <c r="N55" s="410">
        <v>17.644685000000003</v>
      </c>
      <c r="O55" s="410">
        <v>19.491147000000002</v>
      </c>
      <c r="P55" s="410">
        <v>17.693383999999998</v>
      </c>
      <c r="Q55" s="411">
        <v>72.985914000000008</v>
      </c>
      <c r="R55" s="410">
        <v>17.421479999999999</v>
      </c>
      <c r="S55" s="410">
        <v>18.994226999999999</v>
      </c>
      <c r="T55" s="410">
        <v>16.290421000000002</v>
      </c>
      <c r="U55" s="410">
        <v>19.523765000000001</v>
      </c>
      <c r="V55" s="411">
        <v>72.229893000000004</v>
      </c>
      <c r="W55" s="410">
        <v>19.061430000000001</v>
      </c>
    </row>
    <row r="56" spans="1:29">
      <c r="A56" s="91" t="s">
        <v>417</v>
      </c>
      <c r="C56" s="412">
        <v>13.238958</v>
      </c>
      <c r="D56" s="412">
        <v>14.271441999999999</v>
      </c>
      <c r="E56" s="412">
        <v>14.118480999999999</v>
      </c>
      <c r="F56" s="412">
        <v>12.164110000000001</v>
      </c>
      <c r="G56" s="419">
        <v>54.295566000000001</v>
      </c>
      <c r="H56" s="412">
        <v>14.570551</v>
      </c>
      <c r="I56" s="412">
        <v>14.302135</v>
      </c>
      <c r="J56" s="412">
        <v>13.147122999999999</v>
      </c>
      <c r="K56" s="412">
        <v>14.120068999999999</v>
      </c>
      <c r="L56" s="419">
        <v>56.139879000000001</v>
      </c>
      <c r="M56" s="412">
        <v>10.734976000000001</v>
      </c>
      <c r="N56" s="412">
        <v>11.183622</v>
      </c>
      <c r="O56" s="412">
        <v>7.3420630000000005</v>
      </c>
      <c r="P56" s="412">
        <v>7.113327</v>
      </c>
      <c r="Q56" s="419">
        <v>36.373987999999997</v>
      </c>
      <c r="R56" s="412">
        <v>7.9265850000000002</v>
      </c>
      <c r="S56" s="412">
        <v>6.1736189999999995</v>
      </c>
      <c r="T56" s="412">
        <v>4.3521859999999997</v>
      </c>
      <c r="U56" s="412">
        <v>4.5472839999999994</v>
      </c>
      <c r="V56" s="419">
        <v>22.999673999999999</v>
      </c>
      <c r="W56" s="412">
        <v>4.4012770000000003</v>
      </c>
      <c r="AC56" s="217"/>
    </row>
    <row r="57" spans="1:29">
      <c r="D57" s="1" t="str">
        <f>+Data1_BS!D5</f>
        <v>Q2 18</v>
      </c>
      <c r="E57" s="1" t="str">
        <f>+Data1_BS!E5</f>
        <v>Q3 18</v>
      </c>
      <c r="F57" s="1" t="str">
        <f>+Data1_BS!F5</f>
        <v>Q4 18</v>
      </c>
      <c r="H57" s="1" t="str">
        <f>+Data1_BS!G5</f>
        <v>Q1 19</v>
      </c>
      <c r="I57" s="1" t="str">
        <f>+Data1_BS!H5</f>
        <v>Q2 19</v>
      </c>
      <c r="J57" s="1" t="str">
        <f>+Data1_BS!I5</f>
        <v>Q3 19</v>
      </c>
      <c r="K57" s="1" t="str">
        <f>+Data1_BS!J5</f>
        <v>Q4 19</v>
      </c>
      <c r="M57" s="1" t="str">
        <f>+Data1_BS!K5</f>
        <v>Q1 20</v>
      </c>
      <c r="N57" s="1" t="str">
        <f>+Data1_BS!L5</f>
        <v>Q2 20</v>
      </c>
      <c r="O57" s="1" t="str">
        <f>+Data1_BS!M5</f>
        <v>Q3 20</v>
      </c>
      <c r="P57" s="1" t="str">
        <f>+Data1_BS!N5</f>
        <v>Q4 20</v>
      </c>
      <c r="R57" s="1" t="str">
        <f>+Data1_BS!O5</f>
        <v>Q1 21</v>
      </c>
      <c r="S57" s="1" t="str">
        <f>+Data1_BS!P5</f>
        <v>Q2 21</v>
      </c>
      <c r="T57" s="1" t="str">
        <f>+Data1_BS!Q5</f>
        <v>Q3 21</v>
      </c>
      <c r="U57" s="1" t="str">
        <f>+Data1_BS!R5</f>
        <v>Q4 21</v>
      </c>
      <c r="V57" s="1" t="str">
        <f>+Data1_BS!S5</f>
        <v>Q1 22</v>
      </c>
      <c r="W57" s="1" t="str">
        <f>+Data1_BS!T5</f>
        <v>Q2 22</v>
      </c>
      <c r="X57" s="1" t="str">
        <f>+Data1_BS!U5</f>
        <v>Q3 22</v>
      </c>
    </row>
    <row r="58" spans="1:29">
      <c r="C58" s="216"/>
      <c r="D58" s="216">
        <f>+Data1_BS!D17</f>
        <v>3374.7799645440032</v>
      </c>
      <c r="E58" s="216">
        <f>+Data1_BS!E17</f>
        <v>3230.0371797340031</v>
      </c>
      <c r="F58" s="216">
        <f>+Data1_BS!F17</f>
        <v>3304.3395080700029</v>
      </c>
      <c r="H58" s="216">
        <f>+Data1_BS!G17</f>
        <v>3663.4704691940033</v>
      </c>
      <c r="I58" s="216">
        <f>+Data1_BS!H17</f>
        <v>3744.7722864490033</v>
      </c>
      <c r="J58" s="216">
        <f>+Data1_BS!I17</f>
        <v>3949.2806265460035</v>
      </c>
      <c r="K58" s="216">
        <f>+Data1_BS!J17</f>
        <v>3770.2491284610032</v>
      </c>
      <c r="M58" s="216">
        <f>+Data1_BS!K17</f>
        <v>4121.5427441840038</v>
      </c>
      <c r="N58" s="216">
        <f>+Data1_BS!L17</f>
        <v>3968.9998201550034</v>
      </c>
      <c r="O58" s="216">
        <f>+Data1_BS!M17</f>
        <v>3901.0936967890034</v>
      </c>
      <c r="P58" s="216">
        <f>+Data1_BS!N17</f>
        <v>3758.4412488000035</v>
      </c>
      <c r="R58" s="216">
        <f>+Data1_BS!O17</f>
        <v>3996.6707031680035</v>
      </c>
      <c r="S58" s="216">
        <f>+Data1_BS!P17</f>
        <v>4063.8702023470037</v>
      </c>
      <c r="T58" s="216">
        <f>+Data1_BS!Q17</f>
        <v>4314.7392902580041</v>
      </c>
      <c r="U58" s="216">
        <f>+Data1_BS!R17</f>
        <v>4288.8568154140039</v>
      </c>
      <c r="V58" s="216">
        <f>+Data1_BS!S17</f>
        <v>4583.3847584440036</v>
      </c>
      <c r="W58" s="216">
        <f>+Data1_BS!T17</f>
        <v>0</v>
      </c>
      <c r="X58" s="216">
        <f>+Data1_BS!U17</f>
        <v>0</v>
      </c>
      <c r="Y58" s="415" t="s">
        <v>650</v>
      </c>
    </row>
    <row r="59" spans="1:29">
      <c r="D59" s="216">
        <f>+Data1_BS!D38</f>
        <v>1459.0938120580013</v>
      </c>
      <c r="E59" s="216">
        <f>+Data1_BS!E38</f>
        <v>1487.7989013910014</v>
      </c>
      <c r="F59" s="216">
        <f>+Data1_BS!F38</f>
        <v>1506.4938761590013</v>
      </c>
      <c r="H59" s="216">
        <f>+Data1_BS!G38</f>
        <v>1606.2028900300015</v>
      </c>
      <c r="I59" s="216">
        <f>+Data1_BS!H38</f>
        <v>1716.1142241850016</v>
      </c>
      <c r="J59" s="216">
        <f>+Data1_BS!I38</f>
        <v>1872.9704692600017</v>
      </c>
      <c r="K59" s="216">
        <f>+Data1_BS!J38</f>
        <v>1800.9436178250016</v>
      </c>
      <c r="M59" s="216">
        <f>+Data1_BS!K38</f>
        <v>1874.7498963020016</v>
      </c>
      <c r="N59" s="216">
        <f>+Data1_BS!L38</f>
        <v>1898.6817496470017</v>
      </c>
      <c r="O59" s="216">
        <f>+Data1_BS!M38</f>
        <v>1969.9929339470018</v>
      </c>
      <c r="P59" s="216">
        <f>+Data1_BS!N38</f>
        <v>1857.3278069850016</v>
      </c>
      <c r="R59" s="216">
        <f>+Data1_BS!O38</f>
        <v>2041.0155372890017</v>
      </c>
      <c r="S59" s="216">
        <f>+Data1_BS!P38</f>
        <v>2218.2661642620019</v>
      </c>
      <c r="T59" s="216">
        <f>+Data1_BS!Q38</f>
        <v>2368.3365474530019</v>
      </c>
      <c r="U59" s="216">
        <f>+Data1_BS!R38</f>
        <v>2306.4892363260019</v>
      </c>
      <c r="V59" s="216">
        <f>+Data1_BS!S38</f>
        <v>2365.7177001570021</v>
      </c>
      <c r="W59" s="216">
        <f>+Data1_BS!T38</f>
        <v>0</v>
      </c>
      <c r="X59" s="216">
        <f>+Data1_BS!U38</f>
        <v>0</v>
      </c>
      <c r="Y59" s="415" t="s">
        <v>651</v>
      </c>
    </row>
    <row r="61" spans="1:29">
      <c r="T61" s="1">
        <v>15.65</v>
      </c>
    </row>
    <row r="63" spans="1:29">
      <c r="S63" s="1" t="s">
        <v>656</v>
      </c>
      <c r="U63" s="423"/>
    </row>
    <row r="64" spans="1:29">
      <c r="S64" s="1" t="s">
        <v>657</v>
      </c>
    </row>
    <row r="65" spans="18:22">
      <c r="R65" s="216"/>
      <c r="S65" s="216"/>
      <c r="T65" s="216"/>
      <c r="U65" s="216"/>
      <c r="V65" s="216"/>
    </row>
    <row r="66" spans="18:22">
      <c r="R66" s="216"/>
      <c r="S66" s="216"/>
      <c r="T66" s="216"/>
      <c r="U66" s="216"/>
      <c r="V66" s="216"/>
    </row>
    <row r="67" spans="18:22">
      <c r="R67" s="216"/>
      <c r="S67" s="216"/>
      <c r="T67" s="216"/>
      <c r="U67" s="216"/>
      <c r="V67" s="216"/>
    </row>
    <row r="68" spans="18:22">
      <c r="R68" s="216"/>
      <c r="S68" s="216"/>
      <c r="T68" s="216"/>
      <c r="U68" s="216"/>
      <c r="V68" s="216"/>
    </row>
    <row r="69" spans="18:22">
      <c r="R69" s="216"/>
      <c r="S69" s="216"/>
      <c r="T69" s="216"/>
      <c r="U69" s="216"/>
      <c r="V69" s="216"/>
    </row>
    <row r="70" spans="18:22">
      <c r="R70" s="216"/>
      <c r="S70" s="216"/>
      <c r="T70" s="216"/>
      <c r="U70" s="216"/>
      <c r="V70" s="216"/>
    </row>
    <row r="71" spans="18:22">
      <c r="R71" s="216"/>
      <c r="S71" s="216"/>
      <c r="T71" s="216"/>
      <c r="U71" s="216"/>
      <c r="V71" s="216"/>
    </row>
    <row r="72" spans="18:22">
      <c r="R72" s="216"/>
      <c r="S72" s="216"/>
      <c r="T72" s="216"/>
      <c r="U72" s="216"/>
      <c r="V72" s="216"/>
    </row>
    <row r="73" spans="18:22">
      <c r="R73" s="216"/>
      <c r="S73" s="216"/>
      <c r="T73" s="216"/>
      <c r="U73" s="216"/>
      <c r="V73" s="216"/>
    </row>
    <row r="74" spans="18:22">
      <c r="R74" s="216"/>
      <c r="S74" s="216"/>
      <c r="T74" s="216"/>
      <c r="U74" s="216"/>
      <c r="V74" s="216"/>
    </row>
  </sheetData>
  <phoneticPr fontId="3" type="noConversion"/>
  <pageMargins left="0.7" right="0.7" top="0.75" bottom="0.75" header="0.3" footer="0.3"/>
  <pageSetup paperSize="9" orientation="portrait" r:id="rId1"/>
  <ignoredErrors>
    <ignoredError sqref="C21:T2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1837"/>
  </sheetPr>
  <dimension ref="A1:F94"/>
  <sheetViews>
    <sheetView topLeftCell="A69" workbookViewId="0">
      <selection activeCell="C77" sqref="C77"/>
    </sheetView>
  </sheetViews>
  <sheetFormatPr defaultRowHeight="16.5"/>
  <cols>
    <col min="1" max="1" width="54.75" bestFit="1" customWidth="1"/>
    <col min="2" max="2" width="9.875" bestFit="1" customWidth="1"/>
    <col min="3" max="6" width="17.75" bestFit="1" customWidth="1"/>
  </cols>
  <sheetData>
    <row r="1" spans="1:6" ht="27" customHeight="1">
      <c r="A1" s="467" t="s">
        <v>715</v>
      </c>
      <c r="B1" s="467"/>
      <c r="C1" s="103"/>
      <c r="D1" s="103"/>
      <c r="E1" s="103"/>
      <c r="F1" s="103"/>
    </row>
    <row r="2" spans="1:6" ht="40.5" customHeight="1">
      <c r="A2" s="467" t="s">
        <v>716</v>
      </c>
      <c r="B2" s="467"/>
      <c r="C2" s="103"/>
      <c r="D2" s="103"/>
      <c r="E2" s="103"/>
      <c r="F2" s="103"/>
    </row>
    <row r="3" spans="1:6" ht="40.5" customHeight="1">
      <c r="A3" s="467" t="s">
        <v>717</v>
      </c>
      <c r="B3" s="467"/>
      <c r="C3" s="103"/>
      <c r="D3" s="103"/>
      <c r="E3" s="103"/>
      <c r="F3" s="103"/>
    </row>
    <row r="4" spans="1:6">
      <c r="A4" s="451" t="s">
        <v>718</v>
      </c>
      <c r="B4" s="452" t="s">
        <v>719</v>
      </c>
      <c r="C4" s="103"/>
      <c r="D4" s="103"/>
      <c r="E4" s="103"/>
      <c r="F4" s="103"/>
    </row>
    <row r="5" spans="1:6">
      <c r="A5" s="453" t="s">
        <v>720</v>
      </c>
      <c r="B5" s="454" t="s">
        <v>721</v>
      </c>
      <c r="C5" s="468" t="s">
        <v>722</v>
      </c>
      <c r="D5" s="469"/>
      <c r="E5" s="468" t="s">
        <v>723</v>
      </c>
      <c r="F5" s="470"/>
    </row>
    <row r="6" spans="1:6">
      <c r="A6" s="455" t="s">
        <v>724</v>
      </c>
      <c r="B6" s="456"/>
      <c r="C6" s="457"/>
      <c r="D6" s="457"/>
      <c r="E6" s="457"/>
      <c r="F6" s="458"/>
    </row>
    <row r="7" spans="1:6">
      <c r="A7" s="455" t="s">
        <v>725</v>
      </c>
      <c r="B7" s="456"/>
      <c r="C7" s="457"/>
      <c r="D7" s="459">
        <v>2293615763256</v>
      </c>
      <c r="E7" s="457"/>
      <c r="F7" s="460">
        <v>2041130391810</v>
      </c>
    </row>
    <row r="8" spans="1:6">
      <c r="A8" s="455" t="s">
        <v>726</v>
      </c>
      <c r="B8" s="456" t="s">
        <v>727</v>
      </c>
      <c r="C8" s="459">
        <v>608965847370</v>
      </c>
      <c r="D8" s="457"/>
      <c r="E8" s="459">
        <v>699203590783</v>
      </c>
      <c r="F8" s="458"/>
    </row>
    <row r="9" spans="1:6">
      <c r="A9" s="455" t="s">
        <v>728</v>
      </c>
      <c r="B9" s="456" t="s">
        <v>729</v>
      </c>
      <c r="C9" s="459">
        <v>710019624191</v>
      </c>
      <c r="D9" s="457"/>
      <c r="E9" s="459">
        <v>471299961375</v>
      </c>
      <c r="F9" s="458"/>
    </row>
    <row r="10" spans="1:6">
      <c r="A10" s="455" t="s">
        <v>730</v>
      </c>
      <c r="B10" s="456">
        <v>8</v>
      </c>
      <c r="C10" s="459">
        <v>865434387822</v>
      </c>
      <c r="D10" s="457"/>
      <c r="E10" s="459">
        <v>757797014936</v>
      </c>
      <c r="F10" s="458"/>
    </row>
    <row r="11" spans="1:6">
      <c r="A11" s="455" t="s">
        <v>731</v>
      </c>
      <c r="B11" s="456" t="s">
        <v>727</v>
      </c>
      <c r="C11" s="459">
        <v>2844080207</v>
      </c>
      <c r="D11" s="457"/>
      <c r="E11" s="459">
        <v>2856203608</v>
      </c>
      <c r="F11" s="458"/>
    </row>
    <row r="12" spans="1:6">
      <c r="A12" s="455" t="s">
        <v>732</v>
      </c>
      <c r="B12" s="456" t="s">
        <v>733</v>
      </c>
      <c r="C12" s="459">
        <v>6224834975</v>
      </c>
      <c r="D12" s="457"/>
      <c r="E12" s="459">
        <v>6661066104</v>
      </c>
      <c r="F12" s="458"/>
    </row>
    <row r="13" spans="1:6">
      <c r="A13" s="455" t="s">
        <v>734</v>
      </c>
      <c r="B13" s="456" t="s">
        <v>727</v>
      </c>
      <c r="C13" s="459">
        <v>9826428366</v>
      </c>
      <c r="D13" s="457"/>
      <c r="E13" s="459">
        <v>7492318875</v>
      </c>
      <c r="F13" s="458"/>
    </row>
    <row r="14" spans="1:6">
      <c r="A14" s="455" t="s">
        <v>735</v>
      </c>
      <c r="B14" s="456"/>
      <c r="C14" s="459">
        <v>9969769507</v>
      </c>
      <c r="D14" s="457"/>
      <c r="E14" s="459">
        <v>9830343357</v>
      </c>
      <c r="F14" s="458"/>
    </row>
    <row r="15" spans="1:6">
      <c r="A15" s="455" t="s">
        <v>736</v>
      </c>
      <c r="B15" s="456"/>
      <c r="C15" s="459">
        <v>80330790818</v>
      </c>
      <c r="D15" s="457"/>
      <c r="E15" s="459">
        <v>85989892772</v>
      </c>
      <c r="F15" s="458"/>
    </row>
    <row r="16" spans="1:6">
      <c r="A16" s="455" t="s">
        <v>737</v>
      </c>
      <c r="B16" s="456"/>
      <c r="C16" s="457"/>
      <c r="D16" s="459">
        <v>2289768995188</v>
      </c>
      <c r="E16" s="457"/>
      <c r="F16" s="460">
        <v>2247726423604</v>
      </c>
    </row>
    <row r="17" spans="1:6">
      <c r="A17" s="455" t="s">
        <v>728</v>
      </c>
      <c r="B17" s="456" t="s">
        <v>729</v>
      </c>
      <c r="C17" s="459">
        <v>17877552069</v>
      </c>
      <c r="D17" s="457"/>
      <c r="E17" s="459">
        <v>17301711873</v>
      </c>
      <c r="F17" s="458"/>
    </row>
    <row r="18" spans="1:6">
      <c r="A18" s="455" t="s">
        <v>731</v>
      </c>
      <c r="B18" s="456" t="s">
        <v>727</v>
      </c>
      <c r="C18" s="459">
        <v>179393973</v>
      </c>
      <c r="D18" s="457"/>
      <c r="E18" s="459">
        <v>329028011</v>
      </c>
      <c r="F18" s="458"/>
    </row>
    <row r="19" spans="1:6">
      <c r="A19" s="455" t="s">
        <v>738</v>
      </c>
      <c r="B19" s="456">
        <v>9</v>
      </c>
      <c r="C19" s="459">
        <v>425563507087</v>
      </c>
      <c r="D19" s="457"/>
      <c r="E19" s="459">
        <v>418218322008</v>
      </c>
      <c r="F19" s="458"/>
    </row>
    <row r="20" spans="1:6">
      <c r="A20" s="455" t="s">
        <v>739</v>
      </c>
      <c r="B20" s="456">
        <v>9</v>
      </c>
      <c r="C20" s="459">
        <v>1577934795565</v>
      </c>
      <c r="D20" s="457"/>
      <c r="E20" s="459">
        <v>1552788149077</v>
      </c>
      <c r="F20" s="458"/>
    </row>
    <row r="21" spans="1:6">
      <c r="A21" s="455" t="s">
        <v>740</v>
      </c>
      <c r="B21" s="456">
        <v>10</v>
      </c>
      <c r="C21" s="459">
        <v>171822320422</v>
      </c>
      <c r="D21" s="457"/>
      <c r="E21" s="459">
        <v>155037097758</v>
      </c>
      <c r="F21" s="458"/>
    </row>
    <row r="22" spans="1:6">
      <c r="A22" s="455" t="s">
        <v>741</v>
      </c>
      <c r="B22" s="456" t="s">
        <v>733</v>
      </c>
      <c r="C22" s="459">
        <v>7021500000</v>
      </c>
      <c r="D22" s="457"/>
      <c r="E22" s="459">
        <v>7021500000</v>
      </c>
      <c r="F22" s="458"/>
    </row>
    <row r="23" spans="1:6">
      <c r="A23" s="455" t="s">
        <v>734</v>
      </c>
      <c r="B23" s="456" t="s">
        <v>727</v>
      </c>
      <c r="C23" s="459">
        <v>2410957661</v>
      </c>
      <c r="D23" s="457"/>
      <c r="E23" s="459">
        <v>1767776285</v>
      </c>
      <c r="F23" s="458"/>
    </row>
    <row r="24" spans="1:6">
      <c r="A24" s="455" t="s">
        <v>742</v>
      </c>
      <c r="B24" s="456"/>
      <c r="C24" s="459">
        <v>63937740810</v>
      </c>
      <c r="D24" s="457"/>
      <c r="E24" s="459">
        <v>72137123470</v>
      </c>
      <c r="F24" s="458"/>
    </row>
    <row r="25" spans="1:6">
      <c r="A25" s="455" t="s">
        <v>743</v>
      </c>
      <c r="B25" s="456"/>
      <c r="C25" s="459">
        <v>23021227601</v>
      </c>
      <c r="D25" s="457"/>
      <c r="E25" s="459">
        <v>23125715122</v>
      </c>
      <c r="F25" s="458"/>
    </row>
    <row r="26" spans="1:6">
      <c r="A26" s="455" t="s">
        <v>744</v>
      </c>
      <c r="B26" s="456"/>
      <c r="C26" s="457"/>
      <c r="D26" s="459">
        <v>4583384758444</v>
      </c>
      <c r="E26" s="457"/>
      <c r="F26" s="460">
        <v>4288856815414</v>
      </c>
    </row>
    <row r="27" spans="1:6">
      <c r="A27" s="455" t="s">
        <v>745</v>
      </c>
      <c r="B27" s="456"/>
      <c r="C27" s="457"/>
      <c r="D27" s="457"/>
      <c r="E27" s="457"/>
      <c r="F27" s="458"/>
    </row>
    <row r="28" spans="1:6">
      <c r="A28" s="455" t="s">
        <v>746</v>
      </c>
      <c r="B28" s="456"/>
      <c r="C28" s="457"/>
      <c r="D28" s="459">
        <v>1248308569968</v>
      </c>
      <c r="E28" s="457"/>
      <c r="F28" s="460">
        <v>1051388684026</v>
      </c>
    </row>
    <row r="29" spans="1:6">
      <c r="A29" s="455" t="s">
        <v>747</v>
      </c>
      <c r="B29" s="456" t="s">
        <v>748</v>
      </c>
      <c r="C29" s="459">
        <v>563711361825</v>
      </c>
      <c r="D29" s="457"/>
      <c r="E29" s="459">
        <v>536945250754</v>
      </c>
      <c r="F29" s="458"/>
    </row>
    <row r="30" spans="1:6">
      <c r="A30" s="455" t="s">
        <v>749</v>
      </c>
      <c r="B30" s="456" t="s">
        <v>750</v>
      </c>
      <c r="C30" s="459">
        <v>448978124944</v>
      </c>
      <c r="D30" s="457"/>
      <c r="E30" s="459">
        <v>285865529108</v>
      </c>
      <c r="F30" s="458"/>
    </row>
    <row r="31" spans="1:6">
      <c r="A31" s="455" t="s">
        <v>751</v>
      </c>
      <c r="B31" s="456">
        <v>12</v>
      </c>
      <c r="C31" s="459">
        <v>33458059944</v>
      </c>
      <c r="D31" s="457"/>
      <c r="E31" s="459">
        <v>31189783156</v>
      </c>
      <c r="F31" s="458"/>
    </row>
    <row r="32" spans="1:6">
      <c r="A32" s="455" t="s">
        <v>752</v>
      </c>
      <c r="B32" s="456" t="s">
        <v>750</v>
      </c>
      <c r="C32" s="459">
        <v>978096360</v>
      </c>
      <c r="D32" s="457"/>
      <c r="E32" s="459">
        <v>578903941</v>
      </c>
      <c r="F32" s="458"/>
    </row>
    <row r="33" spans="1:6">
      <c r="A33" s="455" t="s">
        <v>753</v>
      </c>
      <c r="B33" s="456" t="s">
        <v>754</v>
      </c>
      <c r="C33" s="459">
        <v>9366173453</v>
      </c>
      <c r="D33" s="457"/>
      <c r="E33" s="459">
        <v>9275280360</v>
      </c>
      <c r="F33" s="458"/>
    </row>
    <row r="34" spans="1:6">
      <c r="A34" s="455" t="s">
        <v>755</v>
      </c>
      <c r="B34" s="456"/>
      <c r="C34" s="459">
        <v>65733007869</v>
      </c>
      <c r="D34" s="457"/>
      <c r="E34" s="459">
        <v>48395817475</v>
      </c>
      <c r="F34" s="458"/>
    </row>
    <row r="35" spans="1:6">
      <c r="A35" s="455" t="s">
        <v>756</v>
      </c>
      <c r="B35" s="456">
        <v>15</v>
      </c>
      <c r="C35" s="459">
        <v>35153842732</v>
      </c>
      <c r="D35" s="457"/>
      <c r="E35" s="459">
        <v>48449711666</v>
      </c>
      <c r="F35" s="458"/>
    </row>
    <row r="36" spans="1:6">
      <c r="A36" s="455" t="s">
        <v>757</v>
      </c>
      <c r="B36" s="456"/>
      <c r="C36" s="459">
        <v>3846889345</v>
      </c>
      <c r="D36" s="457"/>
      <c r="E36" s="459">
        <v>4076343896</v>
      </c>
      <c r="F36" s="458"/>
    </row>
    <row r="37" spans="1:6">
      <c r="A37" s="455" t="s">
        <v>758</v>
      </c>
      <c r="B37" s="456"/>
      <c r="C37" s="459">
        <v>87083013496</v>
      </c>
      <c r="D37" s="457"/>
      <c r="E37" s="459">
        <v>86612063670</v>
      </c>
      <c r="F37" s="458"/>
    </row>
    <row r="38" spans="1:6">
      <c r="A38" s="455" t="s">
        <v>759</v>
      </c>
      <c r="B38" s="456"/>
      <c r="C38" s="457"/>
      <c r="D38" s="459">
        <v>969358488319</v>
      </c>
      <c r="E38" s="457"/>
      <c r="F38" s="110">
        <v>930978895062</v>
      </c>
    </row>
    <row r="39" spans="1:6">
      <c r="A39" s="455" t="s">
        <v>747</v>
      </c>
      <c r="B39" s="456" t="s">
        <v>748</v>
      </c>
      <c r="C39" s="459">
        <v>13680377007</v>
      </c>
      <c r="D39" s="457"/>
      <c r="E39" s="459">
        <v>13030976340</v>
      </c>
      <c r="F39" s="458"/>
    </row>
    <row r="40" spans="1:6">
      <c r="A40" s="455" t="s">
        <v>760</v>
      </c>
      <c r="B40" s="456" t="s">
        <v>750</v>
      </c>
      <c r="C40" s="459">
        <v>423405618877</v>
      </c>
      <c r="D40" s="457"/>
      <c r="E40" s="459">
        <v>421067869136</v>
      </c>
      <c r="F40" s="458"/>
    </row>
    <row r="41" spans="1:6">
      <c r="A41" s="455" t="s">
        <v>751</v>
      </c>
      <c r="B41" s="456">
        <v>12</v>
      </c>
      <c r="C41" s="459">
        <v>86339570924</v>
      </c>
      <c r="D41" s="457"/>
      <c r="E41" s="459">
        <v>84710565048</v>
      </c>
      <c r="F41" s="458"/>
    </row>
    <row r="42" spans="1:6">
      <c r="A42" s="455" t="s">
        <v>761</v>
      </c>
      <c r="B42" s="456">
        <v>13</v>
      </c>
      <c r="C42" s="459">
        <v>126890151182</v>
      </c>
      <c r="D42" s="457"/>
      <c r="E42" s="459">
        <v>126060817564</v>
      </c>
      <c r="F42" s="458"/>
    </row>
    <row r="43" spans="1:6">
      <c r="A43" s="455" t="s">
        <v>762</v>
      </c>
      <c r="B43" s="456"/>
      <c r="C43" s="459">
        <v>301127030520</v>
      </c>
      <c r="D43" s="457"/>
      <c r="E43" s="459">
        <v>268303092865</v>
      </c>
      <c r="F43" s="458"/>
    </row>
    <row r="44" spans="1:6">
      <c r="A44" s="455" t="s">
        <v>763</v>
      </c>
      <c r="B44" s="456"/>
      <c r="C44" s="459">
        <v>2740322686</v>
      </c>
      <c r="D44" s="457"/>
      <c r="E44" s="459">
        <v>5019943147</v>
      </c>
      <c r="F44" s="458"/>
    </row>
    <row r="45" spans="1:6">
      <c r="A45" s="455" t="s">
        <v>764</v>
      </c>
      <c r="B45" s="456">
        <v>15</v>
      </c>
      <c r="C45" s="459">
        <v>6780911650</v>
      </c>
      <c r="D45" s="457"/>
      <c r="E45" s="459">
        <v>6712181099</v>
      </c>
      <c r="F45" s="458"/>
    </row>
    <row r="46" spans="1:6">
      <c r="A46" s="455" t="s">
        <v>757</v>
      </c>
      <c r="B46" s="456"/>
      <c r="C46" s="459">
        <v>3196226955</v>
      </c>
      <c r="D46" s="457"/>
      <c r="E46" s="459">
        <v>875171345</v>
      </c>
      <c r="F46" s="458"/>
    </row>
    <row r="47" spans="1:6">
      <c r="A47" s="455" t="s">
        <v>765</v>
      </c>
      <c r="B47" s="456"/>
      <c r="C47" s="459">
        <v>5198278518</v>
      </c>
      <c r="D47" s="457"/>
      <c r="E47" s="459">
        <v>5198278518</v>
      </c>
      <c r="F47" s="458"/>
    </row>
    <row r="48" spans="1:6">
      <c r="A48" s="455" t="s">
        <v>766</v>
      </c>
      <c r="B48" s="456"/>
      <c r="C48" s="457"/>
      <c r="D48" s="459">
        <v>2217667058287</v>
      </c>
      <c r="E48" s="457"/>
      <c r="F48" s="460">
        <v>1982367579088</v>
      </c>
    </row>
    <row r="49" spans="1:6">
      <c r="A49" s="455" t="s">
        <v>767</v>
      </c>
      <c r="B49" s="456"/>
      <c r="C49" s="457"/>
      <c r="D49" s="457"/>
      <c r="E49" s="457"/>
      <c r="F49" s="458"/>
    </row>
    <row r="50" spans="1:6">
      <c r="A50" s="455" t="s">
        <v>768</v>
      </c>
      <c r="B50" s="456"/>
      <c r="C50" s="457"/>
      <c r="D50" s="459">
        <v>1652760681110</v>
      </c>
      <c r="E50" s="457"/>
      <c r="F50" s="460">
        <v>1610945351915</v>
      </c>
    </row>
    <row r="51" spans="1:6">
      <c r="A51" s="455" t="s">
        <v>769</v>
      </c>
      <c r="B51" s="456"/>
      <c r="C51" s="459">
        <v>61115070000</v>
      </c>
      <c r="D51" s="457"/>
      <c r="E51" s="459">
        <v>61115070000</v>
      </c>
      <c r="F51" s="458"/>
    </row>
    <row r="52" spans="1:6">
      <c r="A52" s="455" t="s">
        <v>770</v>
      </c>
      <c r="B52" s="456"/>
      <c r="C52" s="459">
        <v>107124636152</v>
      </c>
      <c r="D52" s="457"/>
      <c r="E52" s="459">
        <v>108088401752</v>
      </c>
      <c r="F52" s="458"/>
    </row>
    <row r="53" spans="1:6">
      <c r="A53" s="455" t="s">
        <v>771</v>
      </c>
      <c r="B53" s="456"/>
      <c r="C53" s="459">
        <v>-29410811836</v>
      </c>
      <c r="D53" s="457"/>
      <c r="E53" s="459">
        <v>-29410811836</v>
      </c>
      <c r="F53" s="458"/>
    </row>
    <row r="54" spans="1:6">
      <c r="A54" s="455" t="s">
        <v>772</v>
      </c>
      <c r="B54" s="456"/>
      <c r="C54" s="459">
        <v>89947053153</v>
      </c>
      <c r="D54" s="457"/>
      <c r="E54" s="459">
        <v>65158275664</v>
      </c>
      <c r="F54" s="458"/>
    </row>
    <row r="55" spans="1:6">
      <c r="A55" s="455" t="s">
        <v>773</v>
      </c>
      <c r="B55" s="456"/>
      <c r="C55" s="459">
        <v>1423984733641</v>
      </c>
      <c r="D55" s="457"/>
      <c r="E55" s="459">
        <v>1405994416335</v>
      </c>
      <c r="F55" s="458"/>
    </row>
    <row r="56" spans="1:6">
      <c r="A56" s="455" t="s">
        <v>774</v>
      </c>
      <c r="B56" s="456"/>
      <c r="C56" s="457"/>
      <c r="D56" s="459">
        <v>712957019047</v>
      </c>
      <c r="E56" s="457"/>
      <c r="F56" s="110">
        <v>695543884411</v>
      </c>
    </row>
    <row r="57" spans="1:6">
      <c r="A57" s="455" t="s">
        <v>775</v>
      </c>
      <c r="B57" s="456"/>
      <c r="C57" s="457"/>
      <c r="D57" s="459">
        <v>2365717700157</v>
      </c>
      <c r="E57" s="457"/>
      <c r="F57" s="110">
        <v>2306489236326</v>
      </c>
    </row>
    <row r="58" spans="1:6">
      <c r="A58" s="461" t="s">
        <v>776</v>
      </c>
      <c r="B58" s="462"/>
      <c r="C58" s="463"/>
      <c r="D58" s="464">
        <v>4583384758444</v>
      </c>
      <c r="E58" s="463"/>
      <c r="F58" s="123">
        <v>4288856815414</v>
      </c>
    </row>
    <row r="59" spans="1:6">
      <c r="A59" s="465" t="s">
        <v>777</v>
      </c>
      <c r="B59" s="103"/>
      <c r="C59" s="103"/>
      <c r="D59" s="103"/>
      <c r="E59" s="103"/>
      <c r="F59" s="103"/>
    </row>
    <row r="60" spans="1:6" ht="27" customHeight="1">
      <c r="A60" s="467" t="s">
        <v>778</v>
      </c>
      <c r="B60" s="467"/>
      <c r="C60" s="103"/>
      <c r="D60" s="103"/>
      <c r="E60" s="103"/>
      <c r="F60" s="103"/>
    </row>
    <row r="61" spans="1:6" ht="54" customHeight="1">
      <c r="A61" s="467" t="s">
        <v>779</v>
      </c>
      <c r="B61" s="467"/>
      <c r="C61" s="103"/>
      <c r="D61" s="103"/>
      <c r="E61" s="103"/>
      <c r="F61" s="103"/>
    </row>
    <row r="62" spans="1:6" ht="54" customHeight="1">
      <c r="A62" s="467" t="s">
        <v>780</v>
      </c>
      <c r="B62" s="467"/>
      <c r="C62" s="103"/>
      <c r="D62" s="103"/>
      <c r="E62" s="103"/>
      <c r="F62" s="103"/>
    </row>
    <row r="63" spans="1:6">
      <c r="A63" s="451" t="s">
        <v>718</v>
      </c>
      <c r="B63" s="452" t="s">
        <v>719</v>
      </c>
      <c r="C63" s="103"/>
      <c r="D63" s="103"/>
      <c r="E63" s="103"/>
      <c r="F63" s="103"/>
    </row>
    <row r="64" spans="1:6">
      <c r="A64" s="453" t="s">
        <v>781</v>
      </c>
      <c r="B64" s="454" t="s">
        <v>721</v>
      </c>
      <c r="C64" s="454" t="s">
        <v>782</v>
      </c>
      <c r="D64" s="466" t="s">
        <v>783</v>
      </c>
      <c r="E64" s="103"/>
      <c r="F64" s="103"/>
    </row>
    <row r="65" spans="1:6">
      <c r="A65" s="455" t="s">
        <v>784</v>
      </c>
      <c r="B65" s="456" t="s">
        <v>785</v>
      </c>
      <c r="C65" s="109">
        <v>1073562815642</v>
      </c>
      <c r="D65" s="110">
        <v>988280981852</v>
      </c>
      <c r="E65" s="103"/>
      <c r="F65" s="103"/>
    </row>
    <row r="66" spans="1:6">
      <c r="A66" s="455" t="s">
        <v>786</v>
      </c>
      <c r="B66" s="456">
        <v>17</v>
      </c>
      <c r="C66" s="109">
        <v>543621631099</v>
      </c>
      <c r="D66" s="110">
        <v>489740060545</v>
      </c>
      <c r="E66" s="103"/>
      <c r="F66" s="103"/>
    </row>
    <row r="67" spans="1:6">
      <c r="A67" s="455" t="s">
        <v>787</v>
      </c>
      <c r="B67" s="456"/>
      <c r="C67" s="109">
        <v>529941184543</v>
      </c>
      <c r="D67" s="110">
        <v>498540921307</v>
      </c>
      <c r="E67" s="103"/>
      <c r="F67" s="103"/>
    </row>
    <row r="68" spans="1:6">
      <c r="A68" s="455" t="s">
        <v>788</v>
      </c>
      <c r="B68" s="456" t="s">
        <v>789</v>
      </c>
      <c r="C68" s="109">
        <v>361147369096</v>
      </c>
      <c r="D68" s="110">
        <v>314971972171</v>
      </c>
      <c r="E68" s="103"/>
      <c r="F68" s="103"/>
    </row>
    <row r="69" spans="1:6">
      <c r="A69" s="455" t="s">
        <v>790</v>
      </c>
      <c r="B69" s="456"/>
      <c r="C69" s="109">
        <v>168793815447</v>
      </c>
      <c r="D69" s="110">
        <v>183568949136</v>
      </c>
      <c r="E69" s="103"/>
      <c r="F69" s="103"/>
    </row>
    <row r="70" spans="1:6">
      <c r="A70" s="455" t="s">
        <v>791</v>
      </c>
      <c r="B70" s="456">
        <v>18</v>
      </c>
      <c r="C70" s="109">
        <v>1804978169</v>
      </c>
      <c r="D70" s="110">
        <v>619539550</v>
      </c>
      <c r="E70" s="103"/>
      <c r="F70" s="103"/>
    </row>
    <row r="71" spans="1:6">
      <c r="A71" s="455" t="s">
        <v>792</v>
      </c>
      <c r="B71" s="456">
        <v>18</v>
      </c>
      <c r="C71" s="109">
        <v>1276810187</v>
      </c>
      <c r="D71" s="110">
        <v>733593892</v>
      </c>
      <c r="E71" s="103"/>
      <c r="F71" s="103"/>
    </row>
    <row r="72" spans="1:6">
      <c r="A72" s="455" t="s">
        <v>793</v>
      </c>
      <c r="B72" s="456">
        <v>19</v>
      </c>
      <c r="C72" s="109">
        <v>7509285554</v>
      </c>
      <c r="D72" s="110">
        <v>11175487857</v>
      </c>
      <c r="E72" s="103"/>
      <c r="F72" s="103"/>
    </row>
    <row r="73" spans="1:6">
      <c r="A73" s="455" t="s">
        <v>794</v>
      </c>
      <c r="B73" s="456">
        <v>19</v>
      </c>
      <c r="C73" s="109">
        <v>12285055437</v>
      </c>
      <c r="D73" s="110">
        <v>20616495140</v>
      </c>
      <c r="E73" s="103"/>
      <c r="F73" s="103"/>
    </row>
    <row r="74" spans="1:6">
      <c r="A74" s="455" t="s">
        <v>795</v>
      </c>
      <c r="B74" s="456">
        <v>10</v>
      </c>
      <c r="C74" s="109">
        <v>13447242000</v>
      </c>
      <c r="D74" s="110">
        <v>11662938919</v>
      </c>
      <c r="E74" s="103"/>
      <c r="F74" s="103"/>
    </row>
    <row r="75" spans="1:6">
      <c r="A75" s="455" t="s">
        <v>796</v>
      </c>
      <c r="B75" s="456"/>
      <c r="C75" s="109">
        <v>177993455546</v>
      </c>
      <c r="D75" s="110">
        <v>185676826430</v>
      </c>
      <c r="E75" s="103"/>
      <c r="F75" s="103"/>
    </row>
    <row r="76" spans="1:6">
      <c r="A76" s="455" t="s">
        <v>797</v>
      </c>
      <c r="B76" s="456">
        <v>20</v>
      </c>
      <c r="C76" s="109">
        <v>54901737768</v>
      </c>
      <c r="D76" s="110">
        <v>51476133152</v>
      </c>
      <c r="E76" s="103"/>
      <c r="F76" s="103"/>
    </row>
    <row r="77" spans="1:6">
      <c r="A77" s="455" t="s">
        <v>798</v>
      </c>
      <c r="B77" s="456"/>
      <c r="C77" s="109">
        <v>123091717778</v>
      </c>
      <c r="D77" s="110">
        <v>134200693278</v>
      </c>
      <c r="E77" s="103"/>
      <c r="F77" s="103"/>
    </row>
    <row r="78" spans="1:6">
      <c r="A78" s="455" t="s">
        <v>799</v>
      </c>
      <c r="B78" s="456"/>
      <c r="C78" s="111"/>
      <c r="D78" s="112"/>
      <c r="E78" s="103"/>
      <c r="F78" s="103"/>
    </row>
    <row r="79" spans="1:6">
      <c r="A79" s="455" t="s">
        <v>800</v>
      </c>
      <c r="B79" s="456"/>
      <c r="C79" s="111"/>
      <c r="D79" s="112"/>
      <c r="E79" s="103"/>
      <c r="F79" s="103"/>
    </row>
    <row r="80" spans="1:6">
      <c r="A80" s="455" t="s">
        <v>801</v>
      </c>
      <c r="B80" s="456"/>
      <c r="C80" s="111" t="s">
        <v>802</v>
      </c>
      <c r="D80" s="110">
        <v>86089551</v>
      </c>
      <c r="E80" s="103"/>
      <c r="F80" s="103"/>
    </row>
    <row r="81" spans="1:6">
      <c r="A81" s="455" t="s">
        <v>803</v>
      </c>
      <c r="B81" s="456"/>
      <c r="C81" s="111"/>
      <c r="D81" s="112"/>
      <c r="E81" s="103"/>
      <c r="F81" s="103"/>
    </row>
    <row r="82" spans="1:6">
      <c r="A82" s="455" t="s">
        <v>804</v>
      </c>
      <c r="B82" s="456">
        <v>10</v>
      </c>
      <c r="C82" s="109">
        <v>-32161270</v>
      </c>
      <c r="D82" s="110">
        <v>-952145456</v>
      </c>
      <c r="E82" s="103"/>
      <c r="F82" s="103"/>
    </row>
    <row r="83" spans="1:6">
      <c r="A83" s="455" t="s">
        <v>805</v>
      </c>
      <c r="B83" s="456"/>
      <c r="C83" s="109">
        <v>36767919485</v>
      </c>
      <c r="D83" s="110">
        <v>65003509807</v>
      </c>
      <c r="E83" s="103"/>
      <c r="F83" s="103"/>
    </row>
    <row r="84" spans="1:6">
      <c r="A84" s="455" t="s">
        <v>806</v>
      </c>
      <c r="B84" s="456"/>
      <c r="C84" s="109">
        <v>1322693189</v>
      </c>
      <c r="D84" s="110">
        <v>3912794084</v>
      </c>
      <c r="E84" s="103"/>
      <c r="F84" s="103"/>
    </row>
    <row r="85" spans="1:6">
      <c r="A85" s="455" t="s">
        <v>807</v>
      </c>
      <c r="B85" s="456"/>
      <c r="C85" s="109">
        <v>40779033890</v>
      </c>
      <c r="D85" s="110">
        <v>68050247986</v>
      </c>
      <c r="E85" s="103"/>
      <c r="F85" s="103"/>
    </row>
    <row r="86" spans="1:6">
      <c r="A86" s="455" t="s">
        <v>808</v>
      </c>
      <c r="B86" s="456"/>
      <c r="C86" s="109">
        <v>163870751668</v>
      </c>
      <c r="D86" s="110">
        <v>202250941264</v>
      </c>
      <c r="E86" s="103"/>
      <c r="F86" s="103"/>
    </row>
    <row r="87" spans="1:6">
      <c r="A87" s="455" t="s">
        <v>809</v>
      </c>
      <c r="B87" s="456"/>
      <c r="C87" s="111"/>
      <c r="D87" s="112"/>
      <c r="E87" s="103"/>
      <c r="F87" s="103"/>
    </row>
    <row r="88" spans="1:6">
      <c r="A88" s="455" t="s">
        <v>810</v>
      </c>
      <c r="B88" s="456"/>
      <c r="C88" s="109">
        <v>76015035705</v>
      </c>
      <c r="D88" s="110">
        <v>84985186138</v>
      </c>
      <c r="E88" s="103"/>
      <c r="F88" s="103"/>
    </row>
    <row r="89" spans="1:6">
      <c r="A89" s="455" t="s">
        <v>811</v>
      </c>
      <c r="B89" s="456"/>
      <c r="C89" s="109">
        <v>47076682073</v>
      </c>
      <c r="D89" s="110">
        <v>49215507140</v>
      </c>
      <c r="E89" s="103"/>
      <c r="F89" s="103"/>
    </row>
    <row r="90" spans="1:6">
      <c r="A90" s="455" t="s">
        <v>812</v>
      </c>
      <c r="B90" s="456"/>
      <c r="C90" s="111"/>
      <c r="D90" s="112"/>
      <c r="E90" s="103"/>
      <c r="F90" s="103"/>
    </row>
    <row r="91" spans="1:6">
      <c r="A91" s="455" t="s">
        <v>810</v>
      </c>
      <c r="B91" s="456"/>
      <c r="C91" s="109">
        <v>102874933795</v>
      </c>
      <c r="D91" s="110">
        <v>133982012447</v>
      </c>
      <c r="E91" s="103"/>
      <c r="F91" s="103"/>
    </row>
    <row r="92" spans="1:6">
      <c r="A92" s="455" t="s">
        <v>811</v>
      </c>
      <c r="B92" s="456"/>
      <c r="C92" s="109">
        <v>60995817873</v>
      </c>
      <c r="D92" s="110">
        <v>68268928817</v>
      </c>
      <c r="E92" s="103"/>
      <c r="F92" s="103"/>
    </row>
    <row r="93" spans="1:6">
      <c r="A93" s="461" t="s">
        <v>813</v>
      </c>
      <c r="B93" s="462"/>
      <c r="C93" s="115" t="s">
        <v>814</v>
      </c>
      <c r="D93" s="123">
        <v>1414</v>
      </c>
      <c r="E93" s="103"/>
      <c r="F93" s="103"/>
    </row>
    <row r="94" spans="1:6">
      <c r="A94" s="465" t="s">
        <v>815</v>
      </c>
      <c r="B94" s="103"/>
      <c r="C94" s="103"/>
      <c r="D94" s="103"/>
      <c r="E94" s="103"/>
      <c r="F94" s="103"/>
    </row>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B0B7C0"/>
  </sheetPr>
  <dimension ref="B2:D14"/>
  <sheetViews>
    <sheetView zoomScaleNormal="100" workbookViewId="0">
      <selection activeCell="B15" sqref="B15"/>
    </sheetView>
  </sheetViews>
  <sheetFormatPr defaultRowHeight="16.5"/>
  <cols>
    <col min="2" max="2" width="20.5" style="151" customWidth="1"/>
    <col min="3" max="3" width="31.875" style="151" customWidth="1"/>
    <col min="4" max="4" width="32.5" customWidth="1"/>
    <col min="5" max="5" width="16.75" customWidth="1"/>
  </cols>
  <sheetData>
    <row r="2" spans="2:4">
      <c r="B2" s="152" t="s">
        <v>35</v>
      </c>
      <c r="C2" s="151">
        <v>0</v>
      </c>
      <c r="D2" s="20" t="s">
        <v>32</v>
      </c>
    </row>
    <row r="3" spans="2:4">
      <c r="B3" s="151" t="s">
        <v>30</v>
      </c>
      <c r="C3" s="151">
        <v>1</v>
      </c>
      <c r="D3" t="s">
        <v>33</v>
      </c>
    </row>
    <row r="4" spans="2:4">
      <c r="B4" s="151" t="s">
        <v>31</v>
      </c>
      <c r="C4" s="151">
        <v>2</v>
      </c>
      <c r="D4" t="s">
        <v>34</v>
      </c>
    </row>
    <row r="6" spans="2:4" s="137" customFormat="1" ht="12">
      <c r="B6" s="151"/>
      <c r="C6" s="151"/>
    </row>
    <row r="7" spans="2:4">
      <c r="D7" s="138"/>
    </row>
    <row r="10" spans="2:4">
      <c r="B10" s="151" t="s">
        <v>687</v>
      </c>
      <c r="C10" s="151" t="s">
        <v>688</v>
      </c>
    </row>
    <row r="11" spans="2:4">
      <c r="B11" s="151" t="s">
        <v>685</v>
      </c>
      <c r="C11" s="151" t="s">
        <v>686</v>
      </c>
    </row>
    <row r="13" spans="2:4">
      <c r="B13" s="151" t="s">
        <v>689</v>
      </c>
      <c r="C13" s="283" t="s">
        <v>674</v>
      </c>
    </row>
    <row r="14" spans="2:4">
      <c r="B14" s="151" t="s">
        <v>690</v>
      </c>
      <c r="C14" s="283" t="s">
        <v>675</v>
      </c>
    </row>
  </sheetData>
  <phoneticPr fontId="3" type="noConversion"/>
  <dataValidations disablePrompts="1" count="1">
    <dataValidation type="list" allowBlank="1" showInputMessage="1" showErrorMessage="1" sqref="B5" xr:uid="{00000000-0002-0000-0700-000000000000}">
      <formula1>언어_Language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3"/>
  <sheetViews>
    <sheetView topLeftCell="A10" zoomScale="85" zoomScaleNormal="85" workbookViewId="0">
      <selection activeCell="A43" sqref="A43"/>
    </sheetView>
  </sheetViews>
  <sheetFormatPr defaultRowHeight="16.5"/>
  <cols>
    <col min="1" max="1" width="54.75" bestFit="1" customWidth="1"/>
    <col min="2" max="3" width="17.75" bestFit="1" customWidth="1"/>
    <col min="4" max="5" width="17.125" bestFit="1" customWidth="1"/>
  </cols>
  <sheetData>
    <row r="1" spans="1:5">
      <c r="A1" s="102" t="s">
        <v>195</v>
      </c>
      <c r="B1" s="103"/>
      <c r="C1" s="103"/>
      <c r="D1" s="103"/>
      <c r="E1" s="103"/>
    </row>
    <row r="2" spans="1:5">
      <c r="A2" s="104" t="s">
        <v>297</v>
      </c>
      <c r="B2" s="103"/>
      <c r="C2" s="103"/>
      <c r="D2" s="103"/>
      <c r="E2" s="103"/>
    </row>
    <row r="3" spans="1:5">
      <c r="A3" s="104" t="s">
        <v>298</v>
      </c>
      <c r="B3" s="103"/>
      <c r="C3" s="103"/>
      <c r="D3" s="103"/>
      <c r="E3" s="103"/>
    </row>
    <row r="4" spans="1:5">
      <c r="A4" s="105" t="s">
        <v>125</v>
      </c>
      <c r="B4" s="103"/>
      <c r="C4" s="103"/>
      <c r="D4" s="103"/>
      <c r="E4" s="103"/>
    </row>
    <row r="5" spans="1:5">
      <c r="A5" s="127"/>
      <c r="B5" s="128" t="s">
        <v>299</v>
      </c>
      <c r="C5" s="129" t="s">
        <v>300</v>
      </c>
      <c r="D5" s="103"/>
      <c r="E5" s="103"/>
    </row>
    <row r="6" spans="1:5">
      <c r="A6" s="108" t="s">
        <v>200</v>
      </c>
      <c r="B6" s="111"/>
      <c r="C6" s="112"/>
      <c r="D6" s="103"/>
      <c r="E6" s="103"/>
    </row>
    <row r="7" spans="1:5">
      <c r="A7" s="108" t="s">
        <v>201</v>
      </c>
      <c r="B7" s="109">
        <v>1307743117431</v>
      </c>
      <c r="C7" s="110">
        <v>1154080807587</v>
      </c>
      <c r="D7" s="103"/>
      <c r="E7" s="103"/>
    </row>
    <row r="8" spans="1:5">
      <c r="A8" s="108" t="s">
        <v>202</v>
      </c>
      <c r="B8" s="109">
        <v>123600387880</v>
      </c>
      <c r="C8" s="110">
        <v>107696147903</v>
      </c>
      <c r="D8" s="103"/>
      <c r="E8" s="103"/>
    </row>
    <row r="9" spans="1:5">
      <c r="A9" s="108" t="s">
        <v>203</v>
      </c>
      <c r="B9" s="109">
        <v>558138009243</v>
      </c>
      <c r="C9" s="110">
        <v>387342267614</v>
      </c>
      <c r="D9" s="103"/>
      <c r="E9" s="103"/>
    </row>
    <row r="10" spans="1:5">
      <c r="A10" s="108" t="s">
        <v>204</v>
      </c>
      <c r="B10" s="109">
        <v>565919563246</v>
      </c>
      <c r="C10" s="110">
        <v>578366696630</v>
      </c>
      <c r="D10" s="103"/>
      <c r="E10" s="103"/>
    </row>
    <row r="11" spans="1:5">
      <c r="A11" s="108" t="s">
        <v>205</v>
      </c>
      <c r="B11" s="109">
        <v>2549001123</v>
      </c>
      <c r="C11" s="110">
        <v>24586590055</v>
      </c>
      <c r="D11" s="103"/>
      <c r="E11" s="103"/>
    </row>
    <row r="12" spans="1:5">
      <c r="A12" s="108" t="s">
        <v>301</v>
      </c>
      <c r="B12" s="109">
        <v>10974932057</v>
      </c>
      <c r="C12" s="112"/>
      <c r="D12" s="103"/>
      <c r="E12" s="103"/>
    </row>
    <row r="13" spans="1:5">
      <c r="A13" s="108" t="s">
        <v>302</v>
      </c>
      <c r="B13" s="109">
        <v>2497788860</v>
      </c>
      <c r="C13" s="110">
        <v>5008803571</v>
      </c>
      <c r="D13" s="103"/>
      <c r="E13" s="103"/>
    </row>
    <row r="14" spans="1:5">
      <c r="A14" s="108" t="s">
        <v>209</v>
      </c>
      <c r="B14" s="109">
        <v>2557447881</v>
      </c>
      <c r="C14" s="110">
        <v>2019366217</v>
      </c>
      <c r="D14" s="103"/>
      <c r="E14" s="103"/>
    </row>
    <row r="15" spans="1:5">
      <c r="A15" s="108" t="s">
        <v>210</v>
      </c>
      <c r="B15" s="109">
        <v>41505987141</v>
      </c>
      <c r="C15" s="110">
        <v>49060935597</v>
      </c>
      <c r="D15" s="103"/>
      <c r="E15" s="103"/>
    </row>
    <row r="16" spans="1:5">
      <c r="A16" s="108" t="s">
        <v>211</v>
      </c>
      <c r="B16" s="109">
        <v>1920022209112</v>
      </c>
      <c r="C16" s="110">
        <v>1924843410552</v>
      </c>
      <c r="D16" s="103"/>
      <c r="E16" s="103"/>
    </row>
    <row r="17" spans="1:5">
      <c r="A17" s="108" t="s">
        <v>212</v>
      </c>
      <c r="B17" s="109">
        <v>18227378336</v>
      </c>
      <c r="C17" s="110">
        <v>18309873622</v>
      </c>
      <c r="D17" s="103"/>
      <c r="E17" s="103"/>
    </row>
    <row r="18" spans="1:5">
      <c r="A18" s="108" t="s">
        <v>213</v>
      </c>
      <c r="B18" s="109">
        <v>18562619346</v>
      </c>
      <c r="C18" s="110">
        <v>16800208225</v>
      </c>
      <c r="D18" s="103"/>
      <c r="E18" s="103"/>
    </row>
    <row r="19" spans="1:5">
      <c r="A19" s="108" t="s">
        <v>214</v>
      </c>
      <c r="B19" s="109">
        <v>325722822352</v>
      </c>
      <c r="C19" s="110">
        <v>323527080610</v>
      </c>
      <c r="D19" s="103"/>
      <c r="E19" s="103"/>
    </row>
    <row r="20" spans="1:5">
      <c r="A20" s="108" t="s">
        <v>215</v>
      </c>
      <c r="B20" s="109">
        <v>1435717414566</v>
      </c>
      <c r="C20" s="110">
        <v>1440427166767</v>
      </c>
      <c r="D20" s="103"/>
      <c r="E20" s="103"/>
    </row>
    <row r="21" spans="1:5">
      <c r="A21" s="108" t="s">
        <v>303</v>
      </c>
      <c r="B21" s="109">
        <v>32467414707</v>
      </c>
      <c r="C21" s="110">
        <v>26562351295</v>
      </c>
      <c r="D21" s="103"/>
      <c r="E21" s="103"/>
    </row>
    <row r="22" spans="1:5">
      <c r="A22" s="108" t="s">
        <v>304</v>
      </c>
      <c r="B22" s="111"/>
      <c r="C22" s="110">
        <v>3100000000</v>
      </c>
      <c r="D22" s="103"/>
      <c r="E22" s="103"/>
    </row>
    <row r="23" spans="1:5">
      <c r="A23" s="108" t="s">
        <v>305</v>
      </c>
      <c r="B23" s="109">
        <v>3100000000</v>
      </c>
      <c r="C23" s="112"/>
      <c r="D23" s="103"/>
      <c r="E23" s="103"/>
    </row>
    <row r="24" spans="1:5">
      <c r="A24" s="108" t="s">
        <v>306</v>
      </c>
      <c r="B24" s="109">
        <v>111014118</v>
      </c>
      <c r="C24" s="110">
        <v>601969304</v>
      </c>
      <c r="D24" s="103"/>
      <c r="E24" s="103"/>
    </row>
    <row r="25" spans="1:5">
      <c r="A25" s="108" t="s">
        <v>219</v>
      </c>
      <c r="B25" s="109">
        <v>80529862732</v>
      </c>
      <c r="C25" s="110">
        <v>89760401069</v>
      </c>
      <c r="D25" s="103"/>
      <c r="E25" s="103"/>
    </row>
    <row r="26" spans="1:5">
      <c r="A26" s="108" t="s">
        <v>220</v>
      </c>
      <c r="B26" s="109">
        <v>5583682955</v>
      </c>
      <c r="C26" s="110">
        <v>5754359660</v>
      </c>
      <c r="D26" s="103"/>
      <c r="E26" s="103"/>
    </row>
    <row r="27" spans="1:5">
      <c r="A27" s="108" t="s">
        <v>221</v>
      </c>
      <c r="B27" s="109">
        <v>3227765326543</v>
      </c>
      <c r="C27" s="110">
        <v>3078924218139</v>
      </c>
      <c r="D27" s="103"/>
      <c r="E27" s="103"/>
    </row>
    <row r="28" spans="1:5">
      <c r="A28" s="108" t="s">
        <v>222</v>
      </c>
      <c r="B28" s="111"/>
      <c r="C28" s="112"/>
      <c r="D28" s="103"/>
      <c r="E28" s="103"/>
    </row>
    <row r="29" spans="1:5">
      <c r="A29" s="108" t="s">
        <v>223</v>
      </c>
      <c r="B29" s="109">
        <v>772699520138</v>
      </c>
      <c r="C29" s="110">
        <v>694580575337</v>
      </c>
      <c r="D29" s="103"/>
      <c r="E29" s="103"/>
    </row>
    <row r="30" spans="1:5">
      <c r="A30" s="108" t="s">
        <v>224</v>
      </c>
      <c r="B30" s="109">
        <v>304918056189</v>
      </c>
      <c r="C30" s="110">
        <v>330386252203</v>
      </c>
      <c r="D30" s="103"/>
      <c r="E30" s="103"/>
    </row>
    <row r="31" spans="1:5">
      <c r="A31" s="108" t="s">
        <v>225</v>
      </c>
      <c r="B31" s="109">
        <v>372495945302</v>
      </c>
      <c r="C31" s="110">
        <v>212671087919</v>
      </c>
      <c r="D31" s="103"/>
      <c r="E31" s="103"/>
    </row>
    <row r="32" spans="1:5">
      <c r="A32" s="108" t="s">
        <v>235</v>
      </c>
      <c r="B32" s="111"/>
      <c r="C32" s="110">
        <v>69557635152</v>
      </c>
      <c r="D32" s="103"/>
      <c r="E32" s="103"/>
    </row>
    <row r="33" spans="1:5">
      <c r="A33" s="108" t="s">
        <v>226</v>
      </c>
      <c r="B33" s="109">
        <v>2686522032</v>
      </c>
      <c r="C33" s="110">
        <v>2888117267</v>
      </c>
      <c r="D33" s="103"/>
      <c r="E33" s="103"/>
    </row>
    <row r="34" spans="1:5">
      <c r="A34" s="108" t="s">
        <v>227</v>
      </c>
      <c r="B34" s="109">
        <v>7664287068</v>
      </c>
      <c r="C34" s="110">
        <v>6899373019</v>
      </c>
      <c r="D34" s="103"/>
      <c r="E34" s="103"/>
    </row>
    <row r="35" spans="1:5">
      <c r="A35" s="108" t="s">
        <v>229</v>
      </c>
      <c r="B35" s="109">
        <v>57205880776</v>
      </c>
      <c r="C35" s="110">
        <v>51940453067</v>
      </c>
      <c r="D35" s="103"/>
      <c r="E35" s="103"/>
    </row>
    <row r="36" spans="1:5">
      <c r="A36" s="108" t="s">
        <v>231</v>
      </c>
      <c r="B36" s="109">
        <v>27728828771</v>
      </c>
      <c r="C36" s="110">
        <v>20237656710</v>
      </c>
      <c r="D36" s="103"/>
      <c r="E36" s="103"/>
    </row>
    <row r="37" spans="1:5">
      <c r="A37" s="108" t="s">
        <v>232</v>
      </c>
      <c r="B37" s="109">
        <v>1153667775550</v>
      </c>
      <c r="C37" s="110">
        <v>1150013685504</v>
      </c>
      <c r="D37" s="103"/>
      <c r="E37" s="103"/>
    </row>
    <row r="38" spans="1:5">
      <c r="A38" s="108" t="s">
        <v>233</v>
      </c>
      <c r="B38" s="109">
        <v>17381077575</v>
      </c>
      <c r="C38" s="110">
        <v>19274386169</v>
      </c>
      <c r="D38" s="103"/>
      <c r="E38" s="103"/>
    </row>
    <row r="39" spans="1:5" s="369" customFormat="1">
      <c r="A39" s="139" t="s">
        <v>234</v>
      </c>
      <c r="B39" s="140">
        <v>860622088470</v>
      </c>
      <c r="C39" s="141">
        <v>855613734937</v>
      </c>
      <c r="D39" s="368"/>
      <c r="E39" s="368"/>
    </row>
    <row r="40" spans="1:5" s="369" customFormat="1">
      <c r="A40" s="139" t="s">
        <v>236</v>
      </c>
      <c r="B40" s="140">
        <v>5260583772</v>
      </c>
      <c r="C40" s="141">
        <v>5901047278</v>
      </c>
      <c r="D40" s="368"/>
      <c r="E40" s="368"/>
    </row>
    <row r="41" spans="1:5" s="369" customFormat="1">
      <c r="A41" s="139" t="s">
        <v>307</v>
      </c>
      <c r="B41" s="140">
        <v>2601947516</v>
      </c>
      <c r="C41" s="141">
        <v>296146745</v>
      </c>
      <c r="D41" s="368"/>
      <c r="E41" s="368"/>
    </row>
    <row r="42" spans="1:5" s="369" customFormat="1">
      <c r="A42" s="139" t="s">
        <v>308</v>
      </c>
      <c r="B42" s="140">
        <v>163735321207</v>
      </c>
      <c r="C42" s="141">
        <v>163410762057</v>
      </c>
      <c r="D42" s="368"/>
      <c r="E42" s="368"/>
    </row>
    <row r="43" spans="1:5" s="369" customFormat="1">
      <c r="A43" s="139" t="s">
        <v>239</v>
      </c>
      <c r="B43" s="140">
        <v>76017715196</v>
      </c>
      <c r="C43" s="141">
        <v>75846892366</v>
      </c>
      <c r="D43" s="368"/>
      <c r="E43" s="368"/>
    </row>
    <row r="44" spans="1:5">
      <c r="A44" s="108" t="s">
        <v>240</v>
      </c>
      <c r="B44" s="109">
        <v>28049041814</v>
      </c>
      <c r="C44" s="110">
        <v>29670715952</v>
      </c>
      <c r="D44" s="103"/>
      <c r="E44" s="103"/>
    </row>
    <row r="45" spans="1:5">
      <c r="A45" s="108" t="s">
        <v>242</v>
      </c>
      <c r="B45" s="109">
        <v>1926367295688</v>
      </c>
      <c r="C45" s="110">
        <v>1844594260841</v>
      </c>
      <c r="D45" s="103"/>
      <c r="E45" s="103"/>
    </row>
    <row r="46" spans="1:5">
      <c r="A46" s="108" t="s">
        <v>243</v>
      </c>
      <c r="B46" s="111"/>
      <c r="C46" s="112"/>
      <c r="D46" s="103"/>
      <c r="E46" s="103"/>
    </row>
    <row r="47" spans="1:5">
      <c r="A47" s="108" t="s">
        <v>244</v>
      </c>
      <c r="B47" s="109">
        <v>844839771521</v>
      </c>
      <c r="C47" s="110">
        <v>798990293889</v>
      </c>
      <c r="D47" s="103"/>
      <c r="E47" s="103"/>
    </row>
    <row r="48" spans="1:5">
      <c r="A48" s="108" t="s">
        <v>245</v>
      </c>
      <c r="B48" s="109">
        <v>61115070000</v>
      </c>
      <c r="C48" s="110">
        <v>61115070000</v>
      </c>
      <c r="D48" s="103"/>
      <c r="E48" s="103"/>
    </row>
    <row r="49" spans="1:5">
      <c r="A49" s="108" t="s">
        <v>246</v>
      </c>
      <c r="B49" s="109">
        <v>117766679366</v>
      </c>
      <c r="C49" s="110">
        <v>117766679366</v>
      </c>
      <c r="D49" s="103"/>
      <c r="E49" s="103"/>
    </row>
    <row r="50" spans="1:5">
      <c r="A50" s="108" t="s">
        <v>247</v>
      </c>
      <c r="B50" s="109">
        <v>-16778531924</v>
      </c>
      <c r="C50" s="110">
        <v>-13089144096</v>
      </c>
      <c r="D50" s="103"/>
      <c r="E50" s="103"/>
    </row>
    <row r="51" spans="1:5">
      <c r="A51" s="108" t="s">
        <v>248</v>
      </c>
      <c r="B51" s="109">
        <v>-32946147246</v>
      </c>
      <c r="C51" s="110">
        <v>-46461317240</v>
      </c>
      <c r="D51" s="103"/>
      <c r="E51" s="103"/>
    </row>
    <row r="52" spans="1:5">
      <c r="A52" s="108" t="s">
        <v>309</v>
      </c>
      <c r="B52" s="109">
        <v>715682701325</v>
      </c>
      <c r="C52" s="110">
        <v>679659005859</v>
      </c>
      <c r="D52" s="103"/>
      <c r="E52" s="103"/>
    </row>
    <row r="53" spans="1:5">
      <c r="A53" s="108" t="s">
        <v>157</v>
      </c>
      <c r="B53" s="109">
        <v>456558259334</v>
      </c>
      <c r="C53" s="110">
        <v>435339663409</v>
      </c>
      <c r="D53" s="103"/>
      <c r="E53" s="103"/>
    </row>
    <row r="54" spans="1:5">
      <c r="A54" s="108" t="s">
        <v>250</v>
      </c>
      <c r="B54" s="109">
        <v>1301398030855</v>
      </c>
      <c r="C54" s="110">
        <v>1234329957298</v>
      </c>
      <c r="D54" s="103"/>
      <c r="E54" s="103"/>
    </row>
    <row r="55" spans="1:5">
      <c r="A55" s="113" t="s">
        <v>251</v>
      </c>
      <c r="B55" s="114">
        <v>3227765326543</v>
      </c>
      <c r="C55" s="123">
        <v>3078924218139</v>
      </c>
      <c r="D55" s="103"/>
      <c r="E55" s="103"/>
    </row>
    <row r="56" spans="1:5">
      <c r="A56" s="133"/>
      <c r="B56" s="103"/>
      <c r="C56" s="103"/>
      <c r="D56" s="103"/>
      <c r="E56" s="103"/>
    </row>
    <row r="57" spans="1:5">
      <c r="A57" s="102" t="s">
        <v>122</v>
      </c>
      <c r="B57" s="103"/>
      <c r="C57" s="103"/>
      <c r="D57" s="103"/>
      <c r="E57" s="103"/>
    </row>
    <row r="58" spans="1:5">
      <c r="A58" s="104" t="s">
        <v>124</v>
      </c>
      <c r="B58" s="103"/>
      <c r="C58" s="103"/>
      <c r="D58" s="103"/>
      <c r="E58" s="103"/>
    </row>
    <row r="59" spans="1:5">
      <c r="A59" s="104" t="s">
        <v>310</v>
      </c>
      <c r="B59" s="103"/>
      <c r="C59" s="103"/>
      <c r="D59" s="103"/>
      <c r="E59" s="103"/>
    </row>
    <row r="60" spans="1:5">
      <c r="A60" s="105" t="s">
        <v>125</v>
      </c>
      <c r="B60" s="103"/>
      <c r="C60" s="103"/>
      <c r="D60" s="103"/>
      <c r="E60" s="103"/>
    </row>
    <row r="61" spans="1:5">
      <c r="A61" s="488"/>
      <c r="B61" s="490" t="s">
        <v>127</v>
      </c>
      <c r="C61" s="491"/>
      <c r="D61" s="490" t="s">
        <v>311</v>
      </c>
      <c r="E61" s="492"/>
    </row>
    <row r="62" spans="1:5">
      <c r="A62" s="489"/>
      <c r="B62" s="106" t="s">
        <v>128</v>
      </c>
      <c r="C62" s="106" t="s">
        <v>129</v>
      </c>
      <c r="D62" s="106" t="s">
        <v>128</v>
      </c>
      <c r="E62" s="107" t="s">
        <v>129</v>
      </c>
    </row>
    <row r="63" spans="1:5">
      <c r="A63" s="108" t="s">
        <v>130</v>
      </c>
      <c r="B63" s="109">
        <v>676917107443</v>
      </c>
      <c r="C63" s="109">
        <v>676917107443</v>
      </c>
      <c r="D63" s="109">
        <v>653700824429</v>
      </c>
      <c r="E63" s="110">
        <v>653700824429</v>
      </c>
    </row>
    <row r="64" spans="1:5">
      <c r="A64" s="108" t="s">
        <v>131</v>
      </c>
      <c r="B64" s="109">
        <v>334919182430</v>
      </c>
      <c r="C64" s="109">
        <v>334919182430</v>
      </c>
      <c r="D64" s="109">
        <v>346124433500</v>
      </c>
      <c r="E64" s="110">
        <v>346124433500</v>
      </c>
    </row>
    <row r="65" spans="1:5">
      <c r="A65" s="108" t="s">
        <v>132</v>
      </c>
      <c r="B65" s="109">
        <v>341997925013</v>
      </c>
      <c r="C65" s="109">
        <v>341997925013</v>
      </c>
      <c r="D65" s="109">
        <v>307576390929</v>
      </c>
      <c r="E65" s="110">
        <v>307576390929</v>
      </c>
    </row>
    <row r="66" spans="1:5">
      <c r="A66" s="108" t="s">
        <v>133</v>
      </c>
      <c r="B66" s="109">
        <v>257065770679</v>
      </c>
      <c r="C66" s="109">
        <v>257065770679</v>
      </c>
      <c r="D66" s="109">
        <v>258694647553</v>
      </c>
      <c r="E66" s="110">
        <v>258694647553</v>
      </c>
    </row>
    <row r="67" spans="1:5">
      <c r="A67" s="108" t="s">
        <v>134</v>
      </c>
      <c r="B67" s="109">
        <v>84932154334</v>
      </c>
      <c r="C67" s="109">
        <v>84932154334</v>
      </c>
      <c r="D67" s="109">
        <v>48881743376</v>
      </c>
      <c r="E67" s="110">
        <v>48881743376</v>
      </c>
    </row>
    <row r="68" spans="1:5">
      <c r="A68" s="108" t="s">
        <v>312</v>
      </c>
      <c r="B68" s="109">
        <v>1243681584</v>
      </c>
      <c r="C68" s="109">
        <v>1243681584</v>
      </c>
      <c r="D68" s="109">
        <v>848459137</v>
      </c>
      <c r="E68" s="110">
        <v>848459137</v>
      </c>
    </row>
    <row r="69" spans="1:5">
      <c r="A69" s="108" t="s">
        <v>313</v>
      </c>
      <c r="B69" s="109">
        <v>771341060</v>
      </c>
      <c r="C69" s="109">
        <v>771341060</v>
      </c>
      <c r="D69" s="109">
        <v>2499558265</v>
      </c>
      <c r="E69" s="110">
        <v>2499558265</v>
      </c>
    </row>
    <row r="70" spans="1:5">
      <c r="A70" s="108" t="s">
        <v>138</v>
      </c>
      <c r="B70" s="109">
        <v>9550745053</v>
      </c>
      <c r="C70" s="109">
        <v>9550745053</v>
      </c>
      <c r="D70" s="109">
        <v>17328596233</v>
      </c>
      <c r="E70" s="110">
        <v>17328596233</v>
      </c>
    </row>
    <row r="71" spans="1:5">
      <c r="A71" s="108" t="s">
        <v>314</v>
      </c>
      <c r="B71" s="109">
        <v>19091772725</v>
      </c>
      <c r="C71" s="109">
        <v>19091772725</v>
      </c>
      <c r="D71" s="109">
        <v>28280740374</v>
      </c>
      <c r="E71" s="110">
        <v>28280740374</v>
      </c>
    </row>
    <row r="72" spans="1:5">
      <c r="A72" s="108" t="s">
        <v>315</v>
      </c>
      <c r="B72" s="109">
        <v>4885995542</v>
      </c>
      <c r="C72" s="109">
        <v>4885995542</v>
      </c>
      <c r="D72" s="109">
        <v>1894643272</v>
      </c>
      <c r="E72" s="110">
        <v>1894643272</v>
      </c>
    </row>
    <row r="73" spans="1:5">
      <c r="A73" s="108" t="s">
        <v>141</v>
      </c>
      <c r="B73" s="109">
        <v>80749462728</v>
      </c>
      <c r="C73" s="109">
        <v>80749462728</v>
      </c>
      <c r="D73" s="109">
        <v>38173143379</v>
      </c>
      <c r="E73" s="110">
        <v>38173143379</v>
      </c>
    </row>
    <row r="74" spans="1:5">
      <c r="A74" s="108" t="s">
        <v>169</v>
      </c>
      <c r="B74" s="109">
        <v>1013199122</v>
      </c>
      <c r="C74" s="109">
        <v>1013199122</v>
      </c>
      <c r="D74" s="109">
        <v>12634023397</v>
      </c>
      <c r="E74" s="110">
        <v>12634023397</v>
      </c>
    </row>
    <row r="75" spans="1:5">
      <c r="A75" s="108" t="s">
        <v>163</v>
      </c>
      <c r="B75" s="109">
        <v>79736263606</v>
      </c>
      <c r="C75" s="109">
        <v>79736263606</v>
      </c>
      <c r="D75" s="109">
        <v>25539119982</v>
      </c>
      <c r="E75" s="110">
        <v>25539119982</v>
      </c>
    </row>
    <row r="76" spans="1:5">
      <c r="A76" s="108" t="s">
        <v>144</v>
      </c>
      <c r="B76" s="109">
        <v>-4983465925</v>
      </c>
      <c r="C76" s="109">
        <v>-4983465925</v>
      </c>
      <c r="D76" s="109">
        <v>-126542259189</v>
      </c>
      <c r="E76" s="110">
        <v>-126542259189</v>
      </c>
    </row>
    <row r="77" spans="1:5">
      <c r="A77" s="108" t="s">
        <v>145</v>
      </c>
      <c r="B77" s="109">
        <v>1347260368</v>
      </c>
      <c r="C77" s="109">
        <v>1347260368</v>
      </c>
      <c r="D77" s="109">
        <v>-42906767132</v>
      </c>
      <c r="E77" s="110">
        <v>-42906767132</v>
      </c>
    </row>
    <row r="78" spans="1:5">
      <c r="A78" s="108" t="s">
        <v>316</v>
      </c>
      <c r="B78" s="109">
        <v>1347260368</v>
      </c>
      <c r="C78" s="109">
        <v>1347260368</v>
      </c>
      <c r="D78" s="109">
        <v>-42906767132</v>
      </c>
      <c r="E78" s="110">
        <v>-42906767132</v>
      </c>
    </row>
    <row r="79" spans="1:5">
      <c r="A79" s="108" t="s">
        <v>147</v>
      </c>
      <c r="B79" s="109">
        <v>-6330726293</v>
      </c>
      <c r="C79" s="109">
        <v>-6330726293</v>
      </c>
      <c r="D79" s="109">
        <v>-83635492057</v>
      </c>
      <c r="E79" s="110">
        <v>-83635492057</v>
      </c>
    </row>
    <row r="80" spans="1:5">
      <c r="A80" s="108" t="s">
        <v>172</v>
      </c>
      <c r="B80" s="109">
        <v>1161407854</v>
      </c>
      <c r="C80" s="109">
        <v>1161407854</v>
      </c>
      <c r="D80" s="109">
        <v>233018948</v>
      </c>
      <c r="E80" s="110">
        <v>233018948</v>
      </c>
    </row>
    <row r="81" spans="1:5">
      <c r="A81" s="108" t="s">
        <v>149</v>
      </c>
      <c r="B81" s="109">
        <v>-4222513485</v>
      </c>
      <c r="C81" s="109">
        <v>-4222513485</v>
      </c>
      <c r="D81" s="109">
        <v>-71123353715</v>
      </c>
      <c r="E81" s="110">
        <v>-71123353715</v>
      </c>
    </row>
    <row r="82" spans="1:5">
      <c r="A82" s="108" t="s">
        <v>187</v>
      </c>
      <c r="B82" s="109">
        <v>-1140196537</v>
      </c>
      <c r="C82" s="109">
        <v>-1140196537</v>
      </c>
      <c r="D82" s="109">
        <v>-209704590</v>
      </c>
      <c r="E82" s="110">
        <v>-209704590</v>
      </c>
    </row>
    <row r="83" spans="1:5">
      <c r="A83" s="108" t="s">
        <v>317</v>
      </c>
      <c r="B83" s="109">
        <v>-2129424125</v>
      </c>
      <c r="C83" s="109">
        <v>-2129424125</v>
      </c>
      <c r="D83" s="109">
        <v>-12535452700</v>
      </c>
      <c r="E83" s="110">
        <v>-12535452700</v>
      </c>
    </row>
    <row r="84" spans="1:5">
      <c r="A84" s="108" t="s">
        <v>164</v>
      </c>
      <c r="B84" s="109">
        <v>74752797681</v>
      </c>
      <c r="C84" s="109">
        <v>74752797681</v>
      </c>
      <c r="D84" s="109">
        <v>-101003139207</v>
      </c>
      <c r="E84" s="110">
        <v>-101003139207</v>
      </c>
    </row>
    <row r="85" spans="1:5">
      <c r="A85" s="108" t="s">
        <v>189</v>
      </c>
      <c r="B85" s="111"/>
      <c r="C85" s="111"/>
      <c r="D85" s="111"/>
      <c r="E85" s="112"/>
    </row>
    <row r="86" spans="1:5">
      <c r="A86" s="108" t="s">
        <v>318</v>
      </c>
      <c r="B86" s="109">
        <v>38113369174</v>
      </c>
      <c r="C86" s="109">
        <v>38113369174</v>
      </c>
      <c r="D86" s="109">
        <v>9014053424</v>
      </c>
      <c r="E86" s="110">
        <v>9014053424</v>
      </c>
    </row>
    <row r="87" spans="1:5">
      <c r="A87" s="108" t="s">
        <v>319</v>
      </c>
      <c r="B87" s="109">
        <v>41622894432</v>
      </c>
      <c r="C87" s="109">
        <v>41622894432</v>
      </c>
      <c r="D87" s="109">
        <v>16525066558</v>
      </c>
      <c r="E87" s="110">
        <v>16525066558</v>
      </c>
    </row>
    <row r="88" spans="1:5">
      <c r="A88" s="108" t="s">
        <v>320</v>
      </c>
      <c r="B88" s="111"/>
      <c r="C88" s="111"/>
      <c r="D88" s="111"/>
      <c r="E88" s="112"/>
    </row>
    <row r="89" spans="1:5">
      <c r="A89" s="108" t="s">
        <v>321</v>
      </c>
      <c r="B89" s="109">
        <v>53389111298</v>
      </c>
      <c r="C89" s="109">
        <v>53389111298</v>
      </c>
      <c r="D89" s="109">
        <v>-95231852019</v>
      </c>
      <c r="E89" s="110">
        <v>-95231852019</v>
      </c>
    </row>
    <row r="90" spans="1:5">
      <c r="A90" s="108" t="s">
        <v>322</v>
      </c>
      <c r="B90" s="109">
        <v>21363686383</v>
      </c>
      <c r="C90" s="109">
        <v>21363686383</v>
      </c>
      <c r="D90" s="109">
        <v>-5771287188</v>
      </c>
      <c r="E90" s="110">
        <v>-5771287188</v>
      </c>
    </row>
    <row r="91" spans="1:5">
      <c r="A91" s="108" t="s">
        <v>158</v>
      </c>
      <c r="B91" s="111"/>
      <c r="C91" s="111"/>
      <c r="D91" s="111"/>
      <c r="E91" s="112"/>
    </row>
    <row r="92" spans="1:5">
      <c r="A92" s="108" t="s">
        <v>159</v>
      </c>
      <c r="B92" s="109">
        <v>3118</v>
      </c>
      <c r="C92" s="109">
        <v>3118</v>
      </c>
      <c r="D92" s="111">
        <v>765</v>
      </c>
      <c r="E92" s="112">
        <v>765</v>
      </c>
    </row>
    <row r="93" spans="1:5">
      <c r="A93" s="113" t="s">
        <v>160</v>
      </c>
      <c r="B93" s="114">
        <v>3118</v>
      </c>
      <c r="C93" s="114">
        <v>3118</v>
      </c>
      <c r="D93" s="115">
        <v>765</v>
      </c>
      <c r="E93" s="116">
        <v>765</v>
      </c>
    </row>
  </sheetData>
  <mergeCells count="3">
    <mergeCell ref="A61:A62"/>
    <mergeCell ref="B61:C61"/>
    <mergeCell ref="D61:E61"/>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24</vt:i4>
      </vt:variant>
      <vt:variant>
        <vt:lpstr>이름 지정된 범위</vt:lpstr>
      </vt:variant>
      <vt:variant>
        <vt:i4>5</vt:i4>
      </vt:variant>
    </vt:vector>
  </HeadingPairs>
  <TitlesOfParts>
    <vt:vector size="29" baseType="lpstr">
      <vt:lpstr>Main</vt:lpstr>
      <vt:lpstr>1. Consolidated BS</vt:lpstr>
      <vt:lpstr>2. Consolidated PL</vt:lpstr>
      <vt:lpstr>3. Subsidiaries_Segments</vt:lpstr>
      <vt:lpstr>Data1_BS</vt:lpstr>
      <vt:lpstr>Data2_PL</vt:lpstr>
      <vt:lpstr>Q122</vt:lpstr>
      <vt:lpstr>Sheet1</vt:lpstr>
      <vt:lpstr>1Q18</vt:lpstr>
      <vt:lpstr>2Q18</vt:lpstr>
      <vt:lpstr>3Q18</vt:lpstr>
      <vt:lpstr>4Q18</vt:lpstr>
      <vt:lpstr>1Q19</vt:lpstr>
      <vt:lpstr>2Q19</vt:lpstr>
      <vt:lpstr>3Q19</vt:lpstr>
      <vt:lpstr>4Q19</vt:lpstr>
      <vt:lpstr>1Q20</vt:lpstr>
      <vt:lpstr>2Q20</vt:lpstr>
      <vt:lpstr>3Q20</vt:lpstr>
      <vt:lpstr>4Q20</vt:lpstr>
      <vt:lpstr>1Q21</vt:lpstr>
      <vt:lpstr>2Q21</vt:lpstr>
      <vt:lpstr>3Q21</vt:lpstr>
      <vt:lpstr>4Q21</vt:lpstr>
      <vt:lpstr>'1. Consolidated BS'!Print_Area</vt:lpstr>
      <vt:lpstr>'2. Consolidated PL'!Print_Area</vt:lpstr>
      <vt:lpstr>Data1_BS!Print_Area</vt:lpstr>
      <vt:lpstr>단위_Unit</vt:lpstr>
      <vt:lpstr>언어_Language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 현주</dc:creator>
  <cp:lastModifiedBy>김현주</cp:lastModifiedBy>
  <cp:lastPrinted>2022-04-25T02:20:42Z</cp:lastPrinted>
  <dcterms:created xsi:type="dcterms:W3CDTF">2017-08-07T05:47:18Z</dcterms:created>
  <dcterms:modified xsi:type="dcterms:W3CDTF">2023-05-19T08:38:06Z</dcterms:modified>
</cp:coreProperties>
</file>